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83.xml" ContentType="application/vnd.openxmlformats-officedocument.spreadsheetml.comments+xml"/>
  <Override PartName="/xl/comments67.xml" ContentType="application/vnd.openxmlformats-officedocument.spreadsheetml.comments+xml"/>
  <Override PartName="/xl/workbook.xml" ContentType="application/vnd.openxmlformats-officedocument.spreadsheetml.sheet.main+xml"/>
  <Override PartName="/xl/comments66.xml" ContentType="application/vnd.openxmlformats-officedocument.spreadsheetml.comments+xml"/>
  <Override PartName="/xl/theme/theme1.xml" ContentType="application/vnd.openxmlformats-officedocument.theme+xml"/>
  <Override PartName="/xl/comments86.xml" ContentType="application/vnd.openxmlformats-officedocument.spreadsheetml.comments+xml"/>
  <Override PartName="/xl/comments15.xml" ContentType="application/vnd.openxmlformats-officedocument.spreadsheetml.comments+xml"/>
  <Override PartName="/xl/comments87.xml" ContentType="application/vnd.openxmlformats-officedocument.spreadsheetml.comments+xml"/>
  <Override PartName="/xl/comments88.xml" ContentType="application/vnd.openxmlformats-officedocument.spreadsheetml.comments+xml"/>
  <Override PartName="/xl/styles.xml" ContentType="application/vnd.openxmlformats-officedocument.spreadsheetml.styles+xml"/>
  <Override PartName="/xl/worksheets/_rels/sheet88.xml.rels" ContentType="application/vnd.openxmlformats-package.relationships+xml"/>
  <Override PartName="/xl/worksheets/_rels/sheet87.xml.rels" ContentType="application/vnd.openxmlformats-package.relationships+xml"/>
  <Override PartName="/xl/worksheets/_rels/sheet86.xml.rels" ContentType="application/vnd.openxmlformats-package.relationships+xml"/>
  <Override PartName="/xl/worksheets/_rels/sheet15.xml.rels" ContentType="application/vnd.openxmlformats-package.relationships+xml"/>
  <Override PartName="/xl/worksheets/_rels/sheet68.xml.rels" ContentType="application/vnd.openxmlformats-package.relationships+xml"/>
  <Override PartName="/xl/worksheets/_rels/sheet67.xml.rels" ContentType="application/vnd.openxmlformats-package.relationships+xml"/>
  <Override PartName="/xl/worksheets/_rels/sheet66.xml.rels" ContentType="application/vnd.openxmlformats-package.relationships+xml"/>
  <Override PartName="/xl/worksheets/_rels/sheet83.xml.rels" ContentType="application/vnd.openxmlformats-package.relationship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8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47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24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62.xml" ContentType="application/vnd.openxmlformats-officedocument.spreadsheetml.worksheet+xml"/>
  <Override PartName="/xl/worksheets/sheet3.xml" ContentType="application/vnd.openxmlformats-officedocument.spreadsheetml.worksheet+xml"/>
  <Override PartName="/xl/worksheets/sheet63.xml" ContentType="application/vnd.openxmlformats-officedocument.spreadsheetml.worksheet+xml"/>
  <Override PartName="/xl/worksheets/sheet4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94.xml" ContentType="application/vnd.openxmlformats-officedocument.spreadsheetml.worksheet+xml"/>
  <Override PartName="/xl/worksheets/sheet29.xml" ContentType="application/vnd.openxmlformats-officedocument.spreadsheetml.worksheet+xml"/>
  <Override PartName="/xl/worksheets/sheet71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61.xml" ContentType="application/vnd.openxmlformats-officedocument.spreadsheetml.worksheet+xml"/>
  <Override PartName="/xl/worksheets/sheet2.xml" ContentType="application/vnd.openxmlformats-officedocument.spreadsheetml.worksheet+xml"/>
  <Override PartName="/xl/worksheets/sheet96.xml" ContentType="application/vnd.openxmlformats-officedocument.spreadsheetml.worksheet+xml"/>
  <Override PartName="/xl/worksheets/sheet60.xml" ContentType="application/vnd.openxmlformats-officedocument.spreadsheetml.worksheet+xml"/>
  <Override PartName="/xl/worksheets/sheet1.xml" ContentType="application/vnd.openxmlformats-officedocument.spreadsheetml.worksheet+xml"/>
  <Override PartName="/xl/worksheets/sheet95.xml" ContentType="application/vnd.openxmlformats-officedocument.spreadsheetml.worksheet+xml"/>
  <Override PartName="/xl/worksheets/sheet8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76.xml" ContentType="application/vnd.openxmlformats-officedocument.spreadsheetml.worksheet+xml"/>
  <Override PartName="/xl/worksheets/sheet8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74.xml" ContentType="application/vnd.openxmlformats-officedocument.spreadsheetml.worksheet+xml"/>
  <Override PartName="/xl/worksheets/sheet85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8.xml" ContentType="application/vnd.openxmlformats-officedocument.spreadsheetml.worksheet+xml"/>
  <Override PartName="/xl/worksheets/sheet93.xml" ContentType="application/vnd.openxmlformats-officedocument.spreadsheetml.worksheet+xml"/>
  <Override PartName="/xl/worksheets/sheet13.xml" ContentType="application/vnd.openxmlformats-officedocument.spreadsheetml.worksheet+xml"/>
  <Override PartName="/xl/worksheets/sheet92.xml" ContentType="application/vnd.openxmlformats-officedocument.spreadsheetml.worksheet+xml"/>
  <Override PartName="/xl/worksheets/sheet2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91.xml" ContentType="application/vnd.openxmlformats-officedocument.spreadsheetml.worksheet+xml"/>
  <Override PartName="/xl/worksheets/sheet26.xml" ContentType="application/vnd.openxmlformats-officedocument.spreadsheetml.worksheet+xml"/>
  <Override PartName="/xl/worksheets/sheet90.xml" ContentType="application/vnd.openxmlformats-officedocument.spreadsheetml.worksheet+xml"/>
  <Override PartName="/xl/worksheets/sheet25.xml" ContentType="application/vnd.openxmlformats-officedocument.spreadsheetml.worksheet+xml"/>
  <Override PartName="/xl/worksheets/sheet59.xml" ContentType="application/vnd.openxmlformats-officedocument.spreadsheetml.worksheet+xml"/>
  <Override PartName="/xl/worksheets/sheet7.xml" ContentType="application/vnd.openxmlformats-officedocument.spreadsheetml.worksheet+xml"/>
  <Override PartName="/xl/worksheets/sheet22.xml" ContentType="application/vnd.openxmlformats-officedocument.spreadsheetml.worksheet+xml"/>
  <Override PartName="/xl/worksheets/sheet58.xml" ContentType="application/vnd.openxmlformats-officedocument.spreadsheetml.worksheet+xml"/>
  <Override PartName="/xl/worksheets/sheet19.xml" ContentType="application/vnd.openxmlformats-officedocument.spreadsheetml.worksheet+xml"/>
  <Override PartName="/xl/worksheets/sheet84.xml" ContentType="application/vnd.openxmlformats-officedocument.spreadsheetml.worksheet+xml"/>
  <Override PartName="/xl/worksheets/sheet57.xml" ContentType="application/vnd.openxmlformats-officedocument.spreadsheetml.worksheet+xml"/>
  <Override PartName="/xl/worksheets/sheet18.xml" ContentType="application/vnd.openxmlformats-officedocument.spreadsheetml.worksheet+xml"/>
  <Override PartName="/xl/worksheets/sheet83.xml" ContentType="application/vnd.openxmlformats-officedocument.spreadsheetml.worksheet+xml"/>
  <Override PartName="/xl/worksheets/sheet17.xml" ContentType="application/vnd.openxmlformats-officedocument.spreadsheetml.worksheet+xml"/>
  <Override PartName="/xl/worksheets/sheet82.xml" ContentType="application/vnd.openxmlformats-officedocument.spreadsheetml.worksheet+xml"/>
  <Override PartName="/xl/worksheets/sheet16.xml" ContentType="application/vnd.openxmlformats-officedocument.spreadsheetml.worksheet+xml"/>
  <Override PartName="/xl/worksheets/sheet81.xml" ContentType="application/vnd.openxmlformats-officedocument.spreadsheetml.worksheet+xml"/>
  <Override PartName="/xl/worksheets/sheet15.xml" ContentType="application/vnd.openxmlformats-officedocument.spreadsheetml.worksheet+xml"/>
  <Override PartName="/xl/worksheets/sheet80.xml" ContentType="application/vnd.openxmlformats-officedocument.spreadsheetml.worksheet+xml"/>
  <Override PartName="/xl/comments68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4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Derivatives w-o  AA" sheetId="3" state="hidden" r:id="rId5"/>
    <sheet name="Mexico" sheetId="4" state="hidden" r:id="rId6"/>
    <sheet name="East-Trading AA" sheetId="5" state="hidden" r:id="rId7"/>
    <sheet name="West-Trading AA" sheetId="6" state="hidden" r:id="rId8"/>
    <sheet name="Texas-Trading AA" sheetId="7" state="hidden" r:id="rId9"/>
    <sheet name="Financial - AA" sheetId="8" state="hidden" r:id="rId10"/>
    <sheet name="Derivatives AA" sheetId="9" state="hidden" r:id="rId11"/>
    <sheet name="Central - Trading AA" sheetId="10" state="hidden" r:id="rId12"/>
    <sheet name="Financial Gas" sheetId="11" state="hidden" r:id="rId13"/>
    <sheet name="East Power" sheetId="12" state="hidden" r:id="rId14"/>
    <sheet name="Texas - Trading" sheetId="13" state="visible" r:id="rId15"/>
    <sheet name="East - Trading" sheetId="14" state="visible" r:id="rId16"/>
    <sheet name="Central - Trading" sheetId="15" state="visible" r:id="rId17"/>
    <sheet name="West - Trading" sheetId="16" state="visible" r:id="rId18"/>
    <sheet name="Nymex" sheetId="17" state="visible" r:id="rId19"/>
    <sheet name="Texas - Orig" sheetId="18" state="visible" r:id="rId20"/>
    <sheet name="East - Orig" sheetId="19" state="visible" r:id="rId21"/>
    <sheet name="Central - Orig" sheetId="20" state="visible" r:id="rId22"/>
    <sheet name="West - Orig" sheetId="21" state="visible" r:id="rId23"/>
    <sheet name="Deriv-Mex" sheetId="22" state="visible" r:id="rId24"/>
    <sheet name="Crude" sheetId="23" state="visible" r:id="rId25"/>
    <sheet name="Mgmt AA" sheetId="24" state="visible" r:id="rId26"/>
    <sheet name="Ercot AA" sheetId="25" state="visible" r:id="rId27"/>
    <sheet name="NE AA" sheetId="26" state="visible" r:id="rId28"/>
    <sheet name="MW AA" sheetId="27" state="visible" r:id="rId29"/>
    <sheet name="SE AA" sheetId="28" state="visible" r:id="rId30"/>
    <sheet name="Options AA" sheetId="29" state="visible" r:id="rId31"/>
    <sheet name="East Power Orig w Analyst" sheetId="30" state="hidden" r:id="rId32"/>
    <sheet name="Mgmt Orig AA" sheetId="31" state="visible" r:id="rId33"/>
    <sheet name="Ercot Orig AA" sheetId="32" state="visible" r:id="rId34"/>
    <sheet name="NE Orig AA" sheetId="33" state="visible" r:id="rId35"/>
    <sheet name="MW Orig AA" sheetId="34" state="visible" r:id="rId36"/>
    <sheet name="SE Orig AA" sheetId="35" state="visible" r:id="rId37"/>
    <sheet name="West Power Consolidated Trading" sheetId="36" state="hidden" r:id="rId38"/>
    <sheet name="West Power Trading" sheetId="37" state="visible" r:id="rId39"/>
    <sheet name="West Power Origination" sheetId="38" state="visible" r:id="rId40"/>
    <sheet name="Canada Trading w-AA" sheetId="39" state="visible" r:id="rId41"/>
    <sheet name="Canada Trading" sheetId="40" state="hidden" r:id="rId42"/>
    <sheet name="Canada A&amp;A-Trading" sheetId="41" state="hidden" r:id="rId43"/>
    <sheet name="Canada Orig w-AA" sheetId="42" state="visible" r:id="rId44"/>
    <sheet name="Canada Origination" sheetId="43" state="hidden" r:id="rId45"/>
    <sheet name="Office of the Chair" sheetId="44" state="hidden" r:id="rId46"/>
    <sheet name="Canada A&amp;A-Orig" sheetId="45" state="hidden" r:id="rId47"/>
    <sheet name="Canada A&amp;A" sheetId="46" state="hidden" r:id="rId48"/>
    <sheet name="OOC w-o Adm" sheetId="47" state="visible" r:id="rId49"/>
    <sheet name="OOC Admin" sheetId="48" state="visible" r:id="rId50"/>
    <sheet name="Natural Gas Admin" sheetId="49" state="visible" r:id="rId51"/>
    <sheet name="East Power Admins" sheetId="50" state="visible" r:id="rId52"/>
    <sheet name="West Power Admins" sheetId="51" state="visible" r:id="rId53"/>
    <sheet name="Reg Affairs" sheetId="52" state="visible" r:id="rId54"/>
    <sheet name="Fundies-All" sheetId="53" state="visible" r:id="rId55"/>
    <sheet name="Struct" sheetId="54" state="visible" r:id="rId56"/>
    <sheet name="Weather" sheetId="55" state="visible" r:id="rId57"/>
    <sheet name="Gas Risk" sheetId="56" state="visible" r:id="rId58"/>
    <sheet name="Gas Vol Mgmt" sheetId="57" state="visible" r:id="rId59"/>
    <sheet name="Gas Logistics" sheetId="58" state="visible" r:id="rId60"/>
    <sheet name="Gas Settlemnt" sheetId="59" state="visible" r:id="rId61"/>
    <sheet name="Pwr Risk" sheetId="60" state="visible" r:id="rId62"/>
    <sheet name="Pwr Vol Mgmt" sheetId="61" state="visible" r:id="rId63"/>
    <sheet name="Power Logistics" sheetId="62" state="visible" r:id="rId64"/>
    <sheet name="Pwr Settlemt" sheetId="63" state="visible" r:id="rId65"/>
    <sheet name="Documentation" sheetId="64" state="visible" r:id="rId66"/>
    <sheet name="Managemt" sheetId="65" state="visible" r:id="rId67"/>
    <sheet name="IT Dev-EOL" sheetId="66" state="visible" r:id="rId68"/>
    <sheet name="IT Infra" sheetId="67" state="visible" r:id="rId69"/>
    <sheet name="IT Infra-Cap" sheetId="68" state="visible" r:id="rId70"/>
    <sheet name="EOL Support" sheetId="69" state="visible" r:id="rId71"/>
    <sheet name="Canada Support" sheetId="70" state="visible" r:id="rId72"/>
    <sheet name="Credit" sheetId="71" state="visible" r:id="rId73"/>
    <sheet name="Mkt Risk " sheetId="72" state="visible" r:id="rId74"/>
    <sheet name="Research1" sheetId="73" state="visible" r:id="rId75"/>
    <sheet name="Fin Ops" sheetId="74" state="visible" r:id="rId76"/>
    <sheet name="Cash Ops" sheetId="75" state="visible" r:id="rId77"/>
    <sheet name="Tax" sheetId="76" state="visible" r:id="rId78"/>
    <sheet name="HR" sheetId="77" state="visible" r:id="rId79"/>
    <sheet name="Legal" sheetId="78" state="visible" r:id="rId80"/>
    <sheet name="Crude AA" sheetId="79" state="hidden" r:id="rId81"/>
    <sheet name="EOPs" sheetId="80" state="hidden" r:id="rId82"/>
    <sheet name="Canada" sheetId="81" state="hidden" r:id="rId83"/>
    <sheet name="Canada Admins" sheetId="82" state="hidden" r:id="rId84"/>
    <sheet name="SAP" sheetId="83" state="hidden" r:id="rId85"/>
    <sheet name="Research" sheetId="84" state="hidden" r:id="rId86"/>
    <sheet name="Mkt Risk - Combined" sheetId="85" state="hidden" r:id="rId87"/>
    <sheet name="IT Dev" sheetId="86" state="hidden" r:id="rId88"/>
    <sheet name="IT EOL" sheetId="87" state="hidden" r:id="rId89"/>
    <sheet name="IT All" sheetId="88" state="hidden" r:id="rId90"/>
    <sheet name="Fundies-Hou" sheetId="89" state="hidden" r:id="rId91"/>
    <sheet name="Competitive Ana" sheetId="90" state="hidden" r:id="rId92"/>
    <sheet name="Gas - Fund" sheetId="91" state="hidden" r:id="rId93"/>
    <sheet name="East - Fund" sheetId="92" state="hidden" r:id="rId94"/>
    <sheet name="West - Fund" sheetId="93" state="hidden" r:id="rId95"/>
    <sheet name="West - Struct" sheetId="94" state="hidden" r:id="rId96"/>
    <sheet name="Gas - Struct" sheetId="95" state="hidden" r:id="rId97"/>
    <sheet name="East - Struct" sheetId="96" state="hidden" r:id="rId98"/>
  </sheets>
  <externalReferences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function="false" hidden="false" localSheetId="80" name="_xlnm.Print_Area" vbProcedure="false">Canada!$B$1:$L$39</definedName>
    <definedName function="false" hidden="false" localSheetId="45" name="_xlnm.Print_Area" vbProcedure="false">'Canada A&amp;A'!$B$1:$L$39</definedName>
    <definedName function="false" hidden="false" localSheetId="44" name="_xlnm.Print_Area" vbProcedure="false">'Canada A&amp;A-Orig'!$B$1:$L$39</definedName>
    <definedName function="false" hidden="false" localSheetId="40" name="_xlnm.Print_Area" vbProcedure="false">'Canada A&amp;A-Trading'!$B$1:$L$39</definedName>
    <definedName function="false" hidden="false" localSheetId="81" name="_xlnm.Print_Area" vbProcedure="false">'Canada Admins'!$B$1:$L$39</definedName>
    <definedName function="false" hidden="false" localSheetId="41" name="_xlnm.Print_Area" vbProcedure="false">'Canada Orig w-AA'!$B$1:$L$39</definedName>
    <definedName function="false" hidden="false" localSheetId="42" name="_xlnm.Print_Area" vbProcedure="false">'Canada Origination'!$B$1:$L$39</definedName>
    <definedName function="false" hidden="false" localSheetId="69" name="_xlnm.Print_Area" vbProcedure="false">'Canada Support'!$A$1:$N$50</definedName>
    <definedName function="false" hidden="false" localSheetId="39" name="_xlnm.Print_Area" vbProcedure="false">'Canada Trading'!$B$1:$L$39</definedName>
    <definedName function="false" hidden="false" localSheetId="38" name="_xlnm.Print_Area" vbProcedure="false">'Canada Trading w-AA'!$B$1:$L$39</definedName>
    <definedName function="false" hidden="false" localSheetId="74" name="_xlnm.Print_Area" vbProcedure="false">'Cash Ops'!$B$1:$H$28</definedName>
    <definedName function="false" hidden="false" localSheetId="19" name="_xlnm.Print_Area" vbProcedure="false">'Central - Orig'!$B$1:$L$34</definedName>
    <definedName function="false" hidden="false" localSheetId="14" name="_xlnm.Print_Area" vbProcedure="false">'Central - Trading'!$B$1:$L$34</definedName>
    <definedName function="false" hidden="false" localSheetId="9" name="_xlnm.Print_Area" vbProcedure="false">'Central - Trading AA'!$B$1:$L$34</definedName>
    <definedName function="false" hidden="false" localSheetId="89" name="_xlnm.Print_Area" vbProcedure="false">'Competitive Ana'!$B$1:$L$43</definedName>
    <definedName function="false" hidden="false" localSheetId="70" name="_xlnm.Print_Area" vbProcedure="false">Credit!$A$1:$M$38</definedName>
    <definedName function="false" hidden="false" localSheetId="22" name="_xlnm.Print_Area" vbProcedure="false">Crude!$B$1:$L$34</definedName>
    <definedName function="false" hidden="false" localSheetId="78" name="_xlnm.Print_Area" vbProcedure="false">'Crude AA'!$B$1:$L$34</definedName>
    <definedName function="false" hidden="false" localSheetId="21" name="_xlnm.Print_Area" vbProcedure="false">'Deriv-Mex'!$B$1:$L$40</definedName>
    <definedName function="false" hidden="false" localSheetId="8" name="_xlnm.Print_Area" vbProcedure="false">'Derivatives AA'!$B$1:$L$40</definedName>
    <definedName function="false" hidden="false" localSheetId="2" name="_xlnm.Print_Area" vbProcedure="false">'Derivatives w-o  AA'!$B$1:$L$40</definedName>
    <definedName function="false" hidden="false" localSheetId="91" name="_xlnm.Print_Area" vbProcedure="false">'East - Fund'!$B$1:$H$29</definedName>
    <definedName function="false" hidden="false" localSheetId="18" name="_xlnm.Print_Area" vbProcedure="false">'East - Orig'!$B$1:$L$34</definedName>
    <definedName function="false" hidden="false" localSheetId="95" name="_xlnm.Print_Area" vbProcedure="false">'East - Struct'!$B$1:$H$29</definedName>
    <definedName function="false" hidden="false" localSheetId="13" name="_xlnm.Print_Area" vbProcedure="false">'East - Trading'!$B$1:$L$34</definedName>
    <definedName function="false" hidden="false" localSheetId="11" name="_xlnm.Print_Area" vbProcedure="false">'East Power'!$B$1:$H$29</definedName>
    <definedName function="false" hidden="false" localSheetId="49" name="_xlnm.Print_Area" vbProcedure="false">'East Power Admins'!$B$1:$H$28</definedName>
    <definedName function="false" hidden="false" localSheetId="4" name="_xlnm.Print_Area" vbProcedure="false">'East-Trading AA'!$B$1:$L$34</definedName>
    <definedName function="false" hidden="false" localSheetId="68" name="_xlnm.Print_Area" vbProcedure="false">'EOL Support'!$A$1:$P$38</definedName>
    <definedName function="false" hidden="false" localSheetId="79" name="_xlnm.Print_Area" vbProcedure="false">EOPs!$A$1:$M$39</definedName>
    <definedName function="false" hidden="false" localSheetId="73" name="_xlnm.Print_Area" vbProcedure="false">'Fin Ops'!$B$1:$H$28</definedName>
    <definedName function="false" hidden="false" localSheetId="7" name="_xlnm.Print_Area" vbProcedure="false">'Financial - AA'!$B$1:$P$34</definedName>
    <definedName function="false" hidden="false" localSheetId="10" name="_xlnm.Print_Area" vbProcedure="false">'Financial Gas'!$B$1:$P$34</definedName>
    <definedName function="false" hidden="false" localSheetId="52" name="_xlnm.Print_Area" vbProcedure="false">'Fundies-All'!$B$1:$L$33</definedName>
    <definedName function="false" hidden="false" localSheetId="88" name="_xlnm.Print_Area" vbProcedure="false">'Fundies-Hou'!$B$1:$L$34</definedName>
    <definedName function="false" hidden="false" localSheetId="90" name="_xlnm.Print_Area" vbProcedure="false">'Gas - Fund'!$B$1:$L$34</definedName>
    <definedName function="false" hidden="false" localSheetId="94" name="_xlnm.Print_Area" vbProcedure="false">'Gas - Struct'!$B$1:$L$34</definedName>
    <definedName function="false" hidden="false" localSheetId="76" name="_xlnm.Print_Area" vbProcedure="false">HR!$B$1:$L$39</definedName>
    <definedName function="false" hidden="false" localSheetId="87" name="_xlnm.Print_Area" vbProcedure="false">'IT All'!$B$1:$O$49</definedName>
    <definedName function="false" hidden="false" localSheetId="85" name="_xlnm.Print_Area" vbProcedure="false">'IT Dev'!$B$1:$O$49</definedName>
    <definedName function="false" hidden="false" localSheetId="65" name="_xlnm.Print_Area" vbProcedure="false">'IT Dev-EOL'!$B$1:$BA$48</definedName>
    <definedName function="false" hidden="false" localSheetId="86" name="_xlnm.Print_Area" vbProcedure="false">'IT EOL'!$B$1:$M$39</definedName>
    <definedName function="false" hidden="false" localSheetId="66" name="_xlnm.Print_Area" vbProcedure="false">'IT Infra'!$B$1:$BA$46</definedName>
    <definedName function="false" hidden="false" localSheetId="67" name="_xlnm.Print_Area" vbProcedure="false">'IT Infra-Cap'!$B$1:$BA$21</definedName>
    <definedName function="false" hidden="false" localSheetId="77" name="_xlnm.Print_Area" vbProcedure="false">Legal!$B$1:$F$28</definedName>
    <definedName function="false" hidden="false" localSheetId="3" name="_xlnm.Print_Area" vbProcedure="false">Mexico!$B$1:$L$34</definedName>
    <definedName function="false" hidden="false" localSheetId="71" name="_xlnm.Print_Area" vbProcedure="false">'Mkt Risk '!$B$1:$M$40</definedName>
    <definedName function="false" hidden="false" localSheetId="84" name="_xlnm.Print_Area" vbProcedure="false">'Mkt Risk - Combined'!$B$1:$M$41</definedName>
    <definedName function="false" hidden="false" localSheetId="48" name="_xlnm.Print_Area" vbProcedure="false">'Natural Gas Admin'!$B$1:$L$33</definedName>
    <definedName function="false" hidden="false" localSheetId="16" name="_xlnm.Print_Area" vbProcedure="false">Nymex!$B$1:$M$34</definedName>
    <definedName function="false" hidden="false" localSheetId="43" name="_xlnm.Print_Area" vbProcedure="false">'Office of the Chair'!$B$1:$M$40</definedName>
    <definedName function="false" hidden="false" localSheetId="47" name="_xlnm.Print_Area" vbProcedure="false">'OOC Admin'!$B$1:$M$39</definedName>
    <definedName function="false" hidden="false" localSheetId="46" name="_xlnm.Print_Area" vbProcedure="false">'OOC w-o Adm'!$B$1:$M$40</definedName>
    <definedName function="false" hidden="false" localSheetId="51" name="_xlnm.Print_Area" vbProcedure="false">'Reg Affairs'!$B$1:$L$38</definedName>
    <definedName function="false" hidden="false" localSheetId="83" name="_xlnm.Print_Area" vbProcedure="false">Research!$B$1:$M$41</definedName>
    <definedName function="false" hidden="false" localSheetId="72" name="_xlnm.Print_Area" vbProcedure="false">Research1!$B$1:$M$40</definedName>
    <definedName function="false" hidden="false" localSheetId="82" name="_xlnm.Print_Area" vbProcedure="false">SAP!$B$1:$M$40</definedName>
    <definedName function="false" hidden="false" localSheetId="53" name="_xlnm.Print_Area" vbProcedure="false">Struct!$B$1:$O$34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Revised'!$A$1:$T$164</definedName>
    <definedName function="false" hidden="false" localSheetId="75" name="_xlnm.Print_Area" vbProcedure="false">Tax!$B$1:$F$28</definedName>
    <definedName function="false" hidden="false" localSheetId="17" name="_xlnm.Print_Area" vbProcedure="false">'Texas - Orig'!$B$1:$L$34</definedName>
    <definedName function="false" hidden="false" localSheetId="12" name="_xlnm.Print_Area" vbProcedure="false">'Texas - Trading'!$B$1:$L$34</definedName>
    <definedName function="false" hidden="false" localSheetId="6" name="_xlnm.Print_Area" vbProcedure="false">'Texas-Trading AA'!$B$1:$L$34</definedName>
    <definedName function="false" hidden="false" localSheetId="54" name="_xlnm.Print_Area" vbProcedure="false">Weather!$B$1:$L$33</definedName>
    <definedName function="false" hidden="false" localSheetId="92" name="_xlnm.Print_Area" vbProcedure="false">'West - Fund'!$B$1:$O$35</definedName>
    <definedName function="false" hidden="false" localSheetId="20" name="_xlnm.Print_Area" vbProcedure="false">'West - Orig'!$B$1:$L$34</definedName>
    <definedName function="false" hidden="false" localSheetId="93" name="_xlnm.Print_Area" vbProcedure="false">'West - Struct'!$B$1:$O$35</definedName>
    <definedName function="false" hidden="false" localSheetId="15" name="_xlnm.Print_Area" vbProcedure="false">'West - Trading'!$B$1:$L$34</definedName>
    <definedName function="false" hidden="false" localSheetId="50" name="_xlnm.Print_Area" vbProcedure="false">'West Power Admins'!$B$1:$U$34</definedName>
    <definedName function="false" hidden="false" localSheetId="35" name="_xlnm.Print_Area" vbProcedure="false">'West Power Consolidated Trading'!$B$1:$O$35</definedName>
    <definedName function="false" hidden="false" localSheetId="37" name="_xlnm.Print_Area" vbProcedure="false">'West Power Origination'!$B$1:$V$35</definedName>
    <definedName function="false" hidden="false" localSheetId="36" name="_xlnm.Print_Area" vbProcedure="false">'West Power Trading'!$B$1:$O$35</definedName>
    <definedName function="false" hidden="false" localSheetId="5" name="_xlnm.Print_Area" vbProcedure="false">'West-Trading AA'!$B$1:$L$34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7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  <definedName function="false" hidden="false" localSheetId="51" name="SAPFuncF4Help" vbProcedure="false">(#NAME?)</definedName>
    <definedName function="false" hidden="false" localSheetId="52" name="SAPFuncF4Help" vbProcedure="false">(#NAME?)</definedName>
    <definedName function="false" hidden="false" localSheetId="53" name="SAPFuncF4Help" vbProcedure="false">(#NAME?)</definedName>
    <definedName function="false" hidden="false" localSheetId="54" name="SAPFuncF4Help" vbProcedure="false">(#NAME?)</definedName>
    <definedName function="false" hidden="false" localSheetId="55" name="SAPFuncF4Help" vbProcedure="false">(#NAME?)</definedName>
    <definedName function="false" hidden="false" localSheetId="56" name="SAPFuncF4Help" vbProcedure="false">(#NAME?)</definedName>
    <definedName function="false" hidden="false" localSheetId="57" name="SAPFuncF4Help" vbProcedure="false">(#NAME?)</definedName>
    <definedName function="false" hidden="false" localSheetId="58" name="SAPFuncF4Help" vbProcedure="false">(#NAME?)</definedName>
    <definedName function="false" hidden="false" localSheetId="59" name="SAPFuncF4Help" vbProcedure="false">(#NAME?)</definedName>
    <definedName function="false" hidden="false" localSheetId="60" name="SAPFuncF4Help" vbProcedure="false">(#NAME?)</definedName>
    <definedName function="false" hidden="false" localSheetId="62" name="SAPFuncF4Help" vbProcedure="false">(#NAME?)</definedName>
    <definedName function="false" hidden="false" localSheetId="63" name="SAPFuncF4Help" vbProcedure="false">(#NAME?)</definedName>
    <definedName function="false" hidden="false" localSheetId="64" name="SAPFuncF4Help" vbProcedure="false">(#NAME?)</definedName>
    <definedName function="false" hidden="false" localSheetId="65" name="SAPFuncF4Help" vbProcedure="false">(#NAME?)</definedName>
    <definedName function="false" hidden="false" localSheetId="66" name="SAPFuncF4Help" vbProcedure="false">(#NAME?)</definedName>
    <definedName function="false" hidden="false" localSheetId="67" name="SAPFuncF4Help" vbProcedure="false">(#NAME?)</definedName>
    <definedName function="false" hidden="false" localSheetId="68" name="SAPFuncF4Help" vbProcedure="false">(#NAME?)</definedName>
    <definedName function="false" hidden="false" localSheetId="69" name="SAPFuncF4Help" vbProcedure="false">(#NAME?)</definedName>
    <definedName function="false" hidden="false" localSheetId="70" name="SAPFuncF4Help" vbProcedure="false">(#NAME?)</definedName>
    <definedName function="false" hidden="false" localSheetId="71" name="SAPFuncF4Help" vbProcedure="false">(#NAME?)</definedName>
    <definedName function="false" hidden="false" localSheetId="72" name="SAPFuncF4Help" vbProcedure="false">(#NAME?)</definedName>
    <definedName function="false" hidden="false" localSheetId="74" name="SAPFuncF4Help" vbProcedure="false">(#NAME?)</definedName>
    <definedName function="false" hidden="false" localSheetId="75" name="SAPFuncF4Help" vbProcedure="false">(#NAME?)</definedName>
    <definedName function="false" hidden="false" localSheetId="76" name="SAPFuncF4Help" vbProcedure="false">(#NAME?)</definedName>
    <definedName function="false" hidden="false" localSheetId="77" name="SAPFuncF4Help" vbProcedure="false">(#NAME?)</definedName>
    <definedName function="false" hidden="false" localSheetId="78" name="SAPFuncF4Help" vbProcedure="false">(#NAME?)</definedName>
    <definedName function="false" hidden="false" localSheetId="79" name="SAPFuncF4Help" vbProcedure="false">(#NAME?)</definedName>
    <definedName function="false" hidden="false" localSheetId="80" name="SAPFuncF4Help" vbProcedure="false">(#NAME?)</definedName>
    <definedName function="false" hidden="false" localSheetId="81" name="SAPFuncF4Help" vbProcedure="false">(#NAME?)</definedName>
    <definedName function="false" hidden="false" localSheetId="82" name="SAPFuncF4Help" vbProcedure="false">(#NAME?)</definedName>
    <definedName function="false" hidden="false" localSheetId="83" name="SAPFuncF4Help" vbProcedure="false">(#NAME?)</definedName>
    <definedName function="false" hidden="false" localSheetId="84" name="SAPFuncF4Help" vbProcedure="false">(#NAME?)</definedName>
    <definedName function="false" hidden="false" localSheetId="85" name="SAPFuncF4Help" vbProcedure="false">(#NAME?)</definedName>
    <definedName function="false" hidden="false" localSheetId="86" name="SAPFuncF4Help" vbProcedure="false">(#NAME?)</definedName>
    <definedName function="false" hidden="false" localSheetId="87" name="SAPFuncF4Help" vbProcedure="false">(#NAME?)</definedName>
    <definedName function="false" hidden="false" localSheetId="88" name="SAPFuncF4Help" vbProcedure="false">(#NAME?)</definedName>
    <definedName function="false" hidden="false" localSheetId="89" name="SAPFuncF4Help" vbProcedure="false">(#NAME?)</definedName>
    <definedName function="false" hidden="false" localSheetId="90" name="SAPFuncF4Help" vbProcedure="false">(#NAME?)</definedName>
    <definedName function="false" hidden="false" localSheetId="91" name="SAPFuncF4Help" vbProcedure="false">(#NAME?)</definedName>
    <definedName function="false" hidden="false" localSheetId="92" name="SAPFuncF4Help" vbProcedure="false">(#NAME?)</definedName>
    <definedName function="false" hidden="false" localSheetId="93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dvandor:
</t>
        </r>
        <r>
          <rPr>
            <sz val="8"/>
            <color rgb="FF000000"/>
            <rFont val="Tahoma"/>
            <family val="0"/>
          </rPr>
          <t xml:space="preserve">Per Hunter, he is Associate, not Sr Spec per HR file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15</xdr:row>
                <xdr:rowOff>7</xdr:rowOff>
              </xdr:from>
              <xdr:to>
                <xdr:col>16</xdr:col>
                <xdr:colOff>-59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9</xdr:row>
                <xdr:rowOff>7</xdr:rowOff>
              </xdr:from>
              <xdr:to>
                <xdr:col>57</xdr:col>
                <xdr:colOff>66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comments6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9</xdr:row>
                <xdr:rowOff>7</xdr:rowOff>
              </xdr:from>
              <xdr:to>
                <xdr:col>59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comments6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8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8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8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8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<sst xmlns="http://schemas.openxmlformats.org/spreadsheetml/2006/main" count="7178" uniqueCount="333">
  <si>
    <t xml:space="preserve">Enron North America</t>
  </si>
  <si>
    <t xml:space="preserve">2002 Plan</t>
  </si>
  <si>
    <t xml:space="preserve">2000 YTD</t>
  </si>
  <si>
    <t xml:space="preserve">2001 Oct YTD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</si>
  <si>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</si>
  <si>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</si>
  <si>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</si>
  <si>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</si>
  <si>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</si>
  <si>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Texas Gas Trading</t>
  </si>
  <si>
    <t xml:space="preserve"> 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</si>
  <si>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</si>
  <si>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</si>
  <si>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</si>
  <si>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</si>
  <si>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</si>
  <si>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</si>
  <si>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</si>
  <si>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</si>
  <si>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Derivatives Marketing</t>
  </si>
  <si>
    <t xml:space="preserve">Mexico</t>
  </si>
  <si>
    <t xml:space="preserve">Crude</t>
  </si>
  <si>
    <t xml:space="preserve">Total Gas Trading and Origination***</t>
  </si>
  <si>
    <t xml:space="preserve">Management Book</t>
  </si>
  <si>
    <t xml:space="preserve">ERCOT Power Trading</t>
  </si>
  <si>
    <t xml:space="preserve">Northeast Power Trading</t>
  </si>
  <si>
    <t xml:space="preserve">Midwest Power Trading</t>
  </si>
  <si>
    <t xml:space="preserve">Southeast Trading</t>
  </si>
  <si>
    <t xml:space="preserve">Options</t>
  </si>
  <si>
    <t xml:space="preserve">Management Originations</t>
  </si>
  <si>
    <t xml:space="preserve">.</t>
  </si>
  <si>
    <t xml:space="preserve">Ercot Power Originations</t>
  </si>
  <si>
    <t xml:space="preserve">Northeast Power Originations</t>
  </si>
  <si>
    <t xml:space="preserve">Midwest Power Originations</t>
  </si>
  <si>
    <t xml:space="preserve">Southeast Power Originations</t>
  </si>
  <si>
    <t xml:space="preserve">Total East Power Trading and Origination</t>
  </si>
  <si>
    <t xml:space="preserve">West Power Trading- Portland</t>
  </si>
  <si>
    <t xml:space="preserve">West Power Origination- Portland</t>
  </si>
  <si>
    <t xml:space="preserve">Total West Power Trading and Origination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</si>
  <si>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</si>
  <si>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</si>
  <si>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</si>
  <si>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</si>
  <si>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</si>
  <si>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Total Canada Trading and Origination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</si>
  <si>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</si>
  <si>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</si>
  <si>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</si>
  <si>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</si>
  <si>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Regulatory Affairs</t>
  </si>
  <si>
    <t xml:space="preserve">Fundamentals</t>
  </si>
  <si>
    <t xml:space="preserve">Structuring</t>
  </si>
  <si>
    <t xml:space="preserve">Weather</t>
  </si>
  <si>
    <t xml:space="preserve">Energy Ops</t>
  </si>
  <si>
    <t xml:space="preserve">Gas Risk Management</t>
  </si>
  <si>
    <t xml:space="preserve">Gas Volume Management</t>
  </si>
  <si>
    <t xml:space="preserve">Gas Logistics</t>
  </si>
  <si>
    <t xml:space="preserve">Gas Settlements</t>
  </si>
  <si>
    <t xml:space="preserve">Power Risk Management</t>
  </si>
  <si>
    <t xml:space="preserve">Power Volume Management </t>
  </si>
  <si>
    <t xml:space="preserve">Power Logistics****</t>
  </si>
  <si>
    <t xml:space="preserve">Power Settlements</t>
  </si>
  <si>
    <t xml:space="preserve">Documentation</t>
  </si>
  <si>
    <t xml:space="preserve">Management</t>
  </si>
  <si>
    <t xml:space="preserve">Power Volume Mgmt</t>
  </si>
  <si>
    <t xml:space="preserve">Canada</t>
  </si>
  <si>
    <t xml:space="preserve">IT- Development *</t>
  </si>
  <si>
    <t xml:space="preserve">IT- Infrastructure**</t>
  </si>
  <si>
    <t xml:space="preserve">EOL Support</t>
  </si>
  <si>
    <t xml:space="preserve">Canada Support</t>
  </si>
  <si>
    <t xml:space="preserve">Credit</t>
  </si>
  <si>
    <t xml:space="preserve">Market Risk</t>
  </si>
  <si>
    <t xml:space="preserve">Research</t>
  </si>
  <si>
    <t xml:space="preserve">Accounting, Transaction Support</t>
  </si>
  <si>
    <t xml:space="preserve">Cash Operations</t>
  </si>
  <si>
    <t xml:space="preserve">Tax</t>
  </si>
  <si>
    <t xml:space="preserve">HR</t>
  </si>
  <si>
    <t xml:space="preserve">IT- EOL</t>
  </si>
  <si>
    <t xml:space="preserve">Legal</t>
  </si>
  <si>
    <t xml:space="preserve">Rent </t>
  </si>
  <si>
    <t xml:space="preserve">Houston &amp; Other</t>
  </si>
  <si>
    <t xml:space="preserve">Portland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</si>
  <si>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</si>
  <si>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</si>
  <si>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</si>
  <si>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</si>
  <si>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</si>
  <si>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</si>
  <si>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</si>
  <si>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</si>
  <si>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</si>
  <si>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</si>
  <si>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</si>
  <si>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</si>
  <si>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</si>
  <si>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***Unable to identify which region 2 gas employees belong to.</t>
  </si>
  <si>
    <t xml:space="preserve">****Power Logistics Plan was based on Gas Logistics Plan adjusted for headcount.</t>
  </si>
  <si>
    <t xml:space="preserve">2002 Expenses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</si>
  <si>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</si>
  <si>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</si>
  <si>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</si>
  <si>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</si>
  <si>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Cash Operations and Tax</t>
  </si>
  <si>
    <t xml:space="preserve">Research/Market Risk</t>
  </si>
  <si>
    <t xml:space="preserve">Gas Book Running</t>
  </si>
  <si>
    <t xml:space="preserve">Gas Volume Mgmt</t>
  </si>
  <si>
    <t xml:space="preserve">Power Logistics</t>
  </si>
  <si>
    <t xml:space="preserve">Power Book Running</t>
  </si>
  <si>
    <t xml:space="preserve">IT- EOL Support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</si>
  <si>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</si>
  <si>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</si>
  <si>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</si>
  <si>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</si>
  <si>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</si>
  <si>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</si>
  <si>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</si>
  <si>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</si>
  <si>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</si>
  <si>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</si>
  <si>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</si>
  <si>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</si>
  <si>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</si>
  <si>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</si>
  <si>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</si>
  <si>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</si>
  <si>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</si>
  <si>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</si>
  <si>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</si>
  <si>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</si>
  <si>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</si>
  <si>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</si>
  <si>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</si>
  <si>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</si>
  <si>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</si>
  <si>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</si>
  <si>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</si>
  <si>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</si>
  <si>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</si>
  <si>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</si>
  <si>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</si>
  <si>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</si>
  <si>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</si>
  <si>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</si>
  <si>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</si>
  <si>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</si>
  <si>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</si>
  <si>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</si>
  <si>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</si>
  <si>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</si>
  <si>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</si>
  <si>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</si>
  <si>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</si>
  <si>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</si>
  <si>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</si>
  <si>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</si>
  <si>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</si>
  <si>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</si>
  <si>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</si>
  <si>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</si>
  <si>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</si>
  <si>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</si>
  <si>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</si>
  <si>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</si>
  <si>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</si>
  <si>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</si>
  <si>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</si>
  <si>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</si>
  <si>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</si>
  <si>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</si>
  <si>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Jaime Williams-Quintero</t>
  </si>
  <si>
    <t xml:space="preserve">Agustin Perez-Miranda</t>
  </si>
  <si>
    <t xml:space="preserve">East Gas - Trading Analysts/Associates</t>
  </si>
  <si>
    <t xml:space="preserve">West Gas - Trading Analysts/Associates</t>
  </si>
  <si>
    <t xml:space="preserve">ADJUSTED</t>
  </si>
  <si>
    <t xml:space="preserve">Texas - Trading Analysts/Associates</t>
  </si>
  <si>
    <t xml:space="preserve">Financial Gas Analysts/Associates</t>
  </si>
  <si>
    <t xml:space="preserve">Quigley, Henry H</t>
  </si>
  <si>
    <t xml:space="preserve">ASSOCIATE</t>
  </si>
  <si>
    <t xml:space="preserve">ENA FINANCIAL</t>
  </si>
  <si>
    <t xml:space="preserve">Maggi, Michael J</t>
  </si>
  <si>
    <t xml:space="preserve">DIRECTOR</t>
  </si>
  <si>
    <t xml:space="preserve">May, Lawrence J</t>
  </si>
  <si>
    <t xml:space="preserve">Griffith, John H</t>
  </si>
  <si>
    <t xml:space="preserve">MANAGER</t>
  </si>
  <si>
    <t xml:space="preserve">Arnold, John D</t>
  </si>
  <si>
    <t xml:space="preserve">VICE PRESIDENT</t>
  </si>
  <si>
    <t xml:space="preserve">Zipper, Andrew A</t>
  </si>
  <si>
    <t xml:space="preserve">Ligums, John (Jeb)</t>
  </si>
  <si>
    <t xml:space="preserve">Derivatives/Wellhead Analysts/Associates</t>
  </si>
  <si>
    <t xml:space="preserve">Central Gas - Trading Analysts/Associates</t>
  </si>
  <si>
    <t xml:space="preserve">Financial Gas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</si>
  <si>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</si>
  <si>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</si>
  <si>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</si>
  <si>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</si>
  <si>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Texas - Trading</t>
  </si>
  <si>
    <t xml:space="preserve">East Gas - Trading</t>
  </si>
  <si>
    <t xml:space="preserve">Central Gas - Trading</t>
  </si>
  <si>
    <t xml:space="preserve">West Gas - Trading</t>
  </si>
  <si>
    <t xml:space="preserve">Nymex Desk</t>
  </si>
  <si>
    <t xml:space="preserve">Texas - Origination</t>
  </si>
  <si>
    <t xml:space="preserve">East Gas - Orig</t>
  </si>
  <si>
    <t xml:space="preserve">Central Gas - Orig</t>
  </si>
  <si>
    <t xml:space="preserve">West Gas - Orig</t>
  </si>
  <si>
    <t xml:space="preserve">Management Power Trading</t>
  </si>
  <si>
    <t xml:space="preserve">Ercot Power Trading</t>
  </si>
  <si>
    <t xml:space="preserve">Midwest Trading</t>
  </si>
  <si>
    <t xml:space="preserve">East Power Origination</t>
  </si>
  <si>
    <t xml:space="preserve">Management Power Origination</t>
  </si>
  <si>
    <t xml:space="preserve">Ercot Origination</t>
  </si>
  <si>
    <t xml:space="preserve">Northeast Power Origination</t>
  </si>
  <si>
    <t xml:space="preserve">Midwest Power Origination</t>
  </si>
  <si>
    <t xml:space="preserve">Southeast Power Origination</t>
  </si>
  <si>
    <t xml:space="preserve">West Power Consolidated Trading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</si>
  <si>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</si>
  <si>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</si>
  <si>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</si>
  <si>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</si>
  <si>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Canada Trading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</si>
  <si>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</si>
  <si>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</si>
  <si>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</si>
  <si>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</si>
  <si>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</si>
  <si>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</si>
  <si>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</si>
  <si>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</si>
  <si>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</si>
  <si>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</si>
  <si>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</si>
  <si>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Analyst &amp; Associate</t>
  </si>
  <si>
    <t xml:space="preserve">Canada Origination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</si>
  <si>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</si>
  <si>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</si>
  <si>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</si>
  <si>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</si>
  <si>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</si>
  <si>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</si>
  <si>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</si>
  <si>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</si>
  <si>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</si>
  <si>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</si>
  <si>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</si>
  <si>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</si>
  <si>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Office of the Chair Administration</t>
  </si>
  <si>
    <t xml:space="preserve">Natural Gas Admins</t>
  </si>
  <si>
    <t xml:space="preserve">East Power Admins</t>
  </si>
  <si>
    <t xml:space="preserve">West Power Admins</t>
  </si>
  <si>
    <t xml:space="preserve">Coordinator</t>
  </si>
  <si>
    <t xml:space="preserve">Benefits &amp; Taxes</t>
  </si>
  <si>
    <t xml:space="preserve">Based on Legal Expenses</t>
  </si>
  <si>
    <t xml:space="preserve"> Fundamentals</t>
  </si>
  <si>
    <t xml:space="preserve">Gas Risk</t>
  </si>
  <si>
    <t xml:space="preserve">Energy Operations</t>
  </si>
  <si>
    <t xml:space="preserve">Analyst &amp; Associate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</si>
  <si>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</si>
  <si>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</si>
  <si>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</si>
  <si>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</si>
  <si>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</si>
  <si>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</si>
  <si>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</si>
  <si>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</si>
  <si>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Based on information from ENW accounting.</t>
  </si>
  <si>
    <t xml:space="preserve">Gas Settlement</t>
  </si>
  <si>
    <t xml:space="preserve">Power Risk</t>
  </si>
  <si>
    <t xml:space="preserve">Power Settlement</t>
  </si>
  <si>
    <t xml:space="preserve">IT Development</t>
  </si>
  <si>
    <t xml:space="preserve">Tech</t>
  </si>
  <si>
    <t xml:space="preserve">IT Consultants</t>
  </si>
  <si>
    <t xml:space="preserve">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</si>
  <si>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</si>
  <si>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</si>
  <si>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</si>
  <si>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</si>
  <si>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</si>
  <si>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</si>
  <si>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IT Infrastructure - Capital Projects</t>
  </si>
  <si>
    <t xml:space="preserve">Data Center Relocation</t>
  </si>
  <si>
    <t xml:space="preserve">Disaster Recovery</t>
  </si>
  <si>
    <t xml:space="preserve">Core Infrastructure Build</t>
  </si>
  <si>
    <t xml:space="preserve">Temp Data Center Readiness</t>
  </si>
  <si>
    <t xml:space="preserve">Desktop Technology Refresh</t>
  </si>
  <si>
    <t xml:space="preserve">Peripheral Technology Refresh</t>
  </si>
  <si>
    <t xml:space="preserve">Network Printer Refresh</t>
  </si>
  <si>
    <t xml:space="preserve">Total Capital Expenses</t>
  </si>
  <si>
    <t xml:space="preserve">EOPs/Risk</t>
  </si>
  <si>
    <t xml:space="preserve">includes 1 Analyst</t>
  </si>
  <si>
    <t xml:space="preserve">IT</t>
  </si>
  <si>
    <t xml:space="preserve">Analysts &amp; Associate Headcount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</si>
  <si>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</si>
  <si>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</si>
  <si>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</si>
  <si>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</si>
  <si>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</si>
  <si>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Credit </t>
  </si>
  <si>
    <t xml:space="preserve">EVP/CRO</t>
  </si>
  <si>
    <t xml:space="preserve">Sr Specialst</t>
  </si>
  <si>
    <t xml:space="preserve">Financial Operations</t>
  </si>
  <si>
    <t xml:space="preserve">Reporting, GL, Trading &amp; Transaction Support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</si>
  <si>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</si>
  <si>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</si>
  <si>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</si>
  <si>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</si>
  <si>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</si>
  <si>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</si>
  <si>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</si>
  <si>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Adjusted Amts</t>
  </si>
  <si>
    <t xml:space="preserve">Also adjusted up to reach a total of $800k.</t>
  </si>
  <si>
    <t xml:space="preserve">Human Resources</t>
  </si>
  <si>
    <t xml:space="preserve">General Counsel Asst</t>
  </si>
  <si>
    <t xml:space="preserve">Sr Counsel</t>
  </si>
  <si>
    <t xml:space="preserve">VP - Counsel</t>
  </si>
  <si>
    <t xml:space="preserve">Outside Legal - $5,000,000</t>
  </si>
  <si>
    <t xml:space="preserve">Crude Analysts &amp; Associates</t>
  </si>
  <si>
    <t xml:space="preserve">Hicks, W. Wade</t>
  </si>
  <si>
    <t xml:space="preserve">US-GP LPG TRADING</t>
  </si>
  <si>
    <t xml:space="preserve">Jackson, Lee C</t>
  </si>
  <si>
    <t xml:space="preserve">South, Chad E</t>
  </si>
  <si>
    <t xml:space="preserve">US-GP PETROCHEMICALS TRADING</t>
  </si>
  <si>
    <t xml:space="preserve">Energy Operations </t>
  </si>
  <si>
    <t xml:space="preserve">Canada </t>
  </si>
  <si>
    <t xml:space="preserve">Canada Admins</t>
  </si>
  <si>
    <t xml:space="preserve">SAP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</si>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</sst>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sz val="9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SAPLocked" xfId="21"/>
    <cellStyle name="SAPOutput" xfId="22"/>
    <cellStyle name="SAPUnLocked" xfId="23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worksheet" Target="worksheets/sheet66.xml"/><Relationship Id="rId69" Type="http://schemas.openxmlformats.org/officeDocument/2006/relationships/worksheet" Target="worksheets/sheet67.xml"/><Relationship Id="rId70" Type="http://schemas.openxmlformats.org/officeDocument/2006/relationships/worksheet" Target="worksheets/sheet68.xml"/><Relationship Id="rId71" Type="http://schemas.openxmlformats.org/officeDocument/2006/relationships/worksheet" Target="worksheets/sheet69.xml"/><Relationship Id="rId72" Type="http://schemas.openxmlformats.org/officeDocument/2006/relationships/worksheet" Target="worksheets/sheet70.xml"/><Relationship Id="rId73" Type="http://schemas.openxmlformats.org/officeDocument/2006/relationships/worksheet" Target="worksheets/sheet71.xml"/><Relationship Id="rId74" Type="http://schemas.openxmlformats.org/officeDocument/2006/relationships/worksheet" Target="worksheets/sheet72.xml"/><Relationship Id="rId75" Type="http://schemas.openxmlformats.org/officeDocument/2006/relationships/worksheet" Target="worksheets/sheet73.xml"/><Relationship Id="rId76" Type="http://schemas.openxmlformats.org/officeDocument/2006/relationships/worksheet" Target="worksheets/sheet74.xml"/><Relationship Id="rId77" Type="http://schemas.openxmlformats.org/officeDocument/2006/relationships/worksheet" Target="worksheets/sheet75.xml"/><Relationship Id="rId78" Type="http://schemas.openxmlformats.org/officeDocument/2006/relationships/worksheet" Target="worksheets/sheet76.xml"/><Relationship Id="rId79" Type="http://schemas.openxmlformats.org/officeDocument/2006/relationships/worksheet" Target="worksheets/sheet77.xml"/><Relationship Id="rId80" Type="http://schemas.openxmlformats.org/officeDocument/2006/relationships/worksheet" Target="worksheets/sheet78.xml"/><Relationship Id="rId81" Type="http://schemas.openxmlformats.org/officeDocument/2006/relationships/worksheet" Target="worksheets/sheet79.xml"/><Relationship Id="rId82" Type="http://schemas.openxmlformats.org/officeDocument/2006/relationships/worksheet" Target="worksheets/sheet80.xml"/><Relationship Id="rId83" Type="http://schemas.openxmlformats.org/officeDocument/2006/relationships/worksheet" Target="worksheets/sheet81.xml"/><Relationship Id="rId84" Type="http://schemas.openxmlformats.org/officeDocument/2006/relationships/worksheet" Target="worksheets/sheet82.xml"/><Relationship Id="rId85" Type="http://schemas.openxmlformats.org/officeDocument/2006/relationships/worksheet" Target="worksheets/sheet83.xml"/><Relationship Id="rId86" Type="http://schemas.openxmlformats.org/officeDocument/2006/relationships/worksheet" Target="worksheets/sheet84.xml"/><Relationship Id="rId87" Type="http://schemas.openxmlformats.org/officeDocument/2006/relationships/worksheet" Target="worksheets/sheet85.xml"/><Relationship Id="rId88" Type="http://schemas.openxmlformats.org/officeDocument/2006/relationships/worksheet" Target="worksheets/sheet86.xml"/><Relationship Id="rId89" Type="http://schemas.openxmlformats.org/officeDocument/2006/relationships/worksheet" Target="worksheets/sheet87.xml"/><Relationship Id="rId90" Type="http://schemas.openxmlformats.org/officeDocument/2006/relationships/worksheet" Target="worksheets/sheet88.xml"/><Relationship Id="rId91" Type="http://schemas.openxmlformats.org/officeDocument/2006/relationships/worksheet" Target="worksheets/sheet89.xml"/><Relationship Id="rId92" Type="http://schemas.openxmlformats.org/officeDocument/2006/relationships/worksheet" Target="worksheets/sheet90.xml"/><Relationship Id="rId93" Type="http://schemas.openxmlformats.org/officeDocument/2006/relationships/worksheet" Target="worksheets/sheet91.xml"/><Relationship Id="rId94" Type="http://schemas.openxmlformats.org/officeDocument/2006/relationships/worksheet" Target="worksheets/sheet92.xml"/><Relationship Id="rId95" Type="http://schemas.openxmlformats.org/officeDocument/2006/relationships/worksheet" Target="worksheets/sheet93.xml"/><Relationship Id="rId96" Type="http://schemas.openxmlformats.org/officeDocument/2006/relationships/worksheet" Target="worksheets/sheet94.xml"/><Relationship Id="rId97" Type="http://schemas.openxmlformats.org/officeDocument/2006/relationships/worksheet" Target="worksheets/sheet95.xml"/><Relationship Id="rId98" Type="http://schemas.openxmlformats.org/officeDocument/2006/relationships/worksheet" Target="worksheets/sheet96.xml"/><Relationship Id="rId99" Type="http://schemas.openxmlformats.org/officeDocument/2006/relationships/externalLink" Target="externalLinks/externalLink1.xml"/><Relationship Id="rId100" Type="http://schemas.openxmlformats.org/officeDocument/2006/relationships/externalLink" Target="externalLinks/externalLink2.xml"/><Relationship Id="rId101" Type="http://schemas.openxmlformats.org/officeDocument/2006/relationships/externalLink" Target="externalLinks/externalLink3.xml"/><Relationship Id="rId102" Type="http://schemas.openxmlformats.org/officeDocument/2006/relationships/externalLink" Target="externalLinks/externalLink4.xml"/><Relationship Id="rId103" Type="http://schemas.openxmlformats.org/officeDocument/2006/relationships/externalLink" Target="externalLinks/externalLink5.xml"/><Relationship Id="rId104" Type="http://schemas.openxmlformats.org/officeDocument/2006/relationships/externalLink" Target="externalLinks/externalLink6.xml"/><Relationship Id="rId105" Type="http://schemas.openxmlformats.org/officeDocument/2006/relationships/externalLink" Target="externalLinks/externalLink7.xml"/><Relationship Id="rId106" Type="http://schemas.openxmlformats.org/officeDocument/2006/relationships/externalLink" Target="externalLinks/externalLink8.xml"/><Relationship Id="rId107" Type="http://schemas.openxmlformats.org/officeDocument/2006/relationships/externalLink" Target="externalLinks/externalLink9.xml"/><Relationship Id="rId108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1.xml"/><Relationship Id="rId110" Type="http://schemas.openxmlformats.org/officeDocument/2006/relationships/externalLink" Target="externalLinks/externalLink12.xml"/><Relationship Id="rId111" Type="http://schemas.openxmlformats.org/officeDocument/2006/relationships/externalLink" Target="externalLinks/externalLink13.xml"/><Relationship Id="rId112" Type="http://schemas.openxmlformats.org/officeDocument/2006/relationships/externalLink" Target="externalLinks/externalLink14.xml"/><Relationship Id="rId113" Type="http://schemas.openxmlformats.org/officeDocument/2006/relationships/externalLink" Target="externalLinks/externalLink15.xml"/><Relationship Id="rId114" Type="http://schemas.openxmlformats.org/officeDocument/2006/relationships/externalLink" Target="externalLinks/externalLink16.xml"/><Relationship Id="rId115" Type="http://schemas.openxmlformats.org/officeDocument/2006/relationships/externalLink" Target="externalLinks/externalLink17.xml"/><Relationship Id="rId116" Type="http://schemas.openxmlformats.org/officeDocument/2006/relationships/externalLink" Target="externalLinks/externalLink18.xml"/><Relationship Id="rId117" Type="http://schemas.openxmlformats.org/officeDocument/2006/relationships/externalLink" Target="externalLinks/externalLink19.xml"/><Relationship Id="rId118" Type="http://schemas.openxmlformats.org/officeDocument/2006/relationships/externalLink" Target="externalLinks/externalLink20.xml"/><Relationship Id="rId119" Type="http://schemas.openxmlformats.org/officeDocument/2006/relationships/externalLink" Target="externalLinks/externalLink21.xml"/><Relationship Id="rId120" Type="http://schemas.openxmlformats.org/officeDocument/2006/relationships/externalLink" Target="externalLinks/externalLink22.xml"/><Relationship Id="rId121" Type="http://schemas.openxmlformats.org/officeDocument/2006/relationships/externalLink" Target="externalLinks/externalLink23.xml"/><Relationship Id="rId122" Type="http://schemas.openxmlformats.org/officeDocument/2006/relationships/externalLink" Target="externalLinks/externalLink24.xml"/><Relationship Id="rId123" Type="http://schemas.openxmlformats.org/officeDocument/2006/relationships/externalLink" Target="externalLinks/externalLink25.xml"/><Relationship Id="rId124" Type="http://schemas.openxmlformats.org/officeDocument/2006/relationships/externalLink" Target="externalLinks/externalLink26.xml"/><Relationship Id="rId125" Type="http://schemas.openxmlformats.org/officeDocument/2006/relationships/externalLink" Target="externalLinks/externalLink27.xml"/><Relationship Id="rId126" Type="http://schemas.openxmlformats.org/officeDocument/2006/relationships/externalLink" Target="externalLinks/externalLink28.xml"/><Relationship Id="rId12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Plan%2001-09%20adj(2)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Eops%20breakout%2001-09adj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Eops%20breakout%2001-09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-%20Regions/Derivatives_Wellhead_Mexico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PR%20Trading%20Repor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est%20Power%20Consolidation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West%20Power%20Netco%20Budget%2001-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2002 Revised"/>
      <sheetName val="Summary 2002"/>
      <sheetName val="Consolidated IS"/>
      <sheetName val="Commercial IS"/>
      <sheetName val="Support IS"/>
      <sheetName val="Texas-Trading w-o AA"/>
      <sheetName val="East-Trading w-o AA"/>
      <sheetName val="Central-Trading w-o AA"/>
      <sheetName val="West-Trading w-o AA"/>
      <sheetName val="Financial w-o AA"/>
      <sheetName val="Texas - Orig"/>
      <sheetName val="East - Orig"/>
      <sheetName val="Central Gas - Orig"/>
      <sheetName val="West - Orig"/>
      <sheetName val="Derivatives w-o  AA-Mex"/>
      <sheetName val="Derivatives w-o  AA"/>
      <sheetName val="Mexico"/>
      <sheetName val="East-Trading AA"/>
      <sheetName val="West-Trading AA"/>
      <sheetName val="Texas-Trading AA"/>
      <sheetName val="Financial - AA"/>
      <sheetName val="Derivatives AA"/>
      <sheetName val="Central - Trading AA"/>
      <sheetName val="Financial Gas"/>
      <sheetName val="East Power"/>
      <sheetName val="Crude w-o AA"/>
      <sheetName val="Management"/>
      <sheetName val="Pwr Trad Mgmt HC"/>
      <sheetName val="Ercot"/>
      <sheetName val="Ercot Trad HC"/>
      <sheetName val="Northeast"/>
      <sheetName val="NE Trad HC"/>
      <sheetName val="Midwest"/>
      <sheetName val="MW Trad HC"/>
      <sheetName val="Southeast"/>
      <sheetName val="SE Trad HC"/>
      <sheetName val="Options"/>
      <sheetName val="Options HC"/>
      <sheetName val="East Power Origination"/>
      <sheetName val="Mgmt Orig"/>
      <sheetName val="Mgmt Orig HC"/>
      <sheetName val="Ercot Orig"/>
      <sheetName val="Ercot Orig HC"/>
      <sheetName val="Northeast Orig"/>
      <sheetName val="NE Orig HC"/>
      <sheetName val="Midwest Orig"/>
      <sheetName val="MW Orig HC"/>
      <sheetName val="Southeast Orig"/>
      <sheetName val="SE Orig HC"/>
      <sheetName val="West Power Trading"/>
      <sheetName val="West Power Origination"/>
      <sheetName val="Canada Trading"/>
      <sheetName val="Canada Origination"/>
      <sheetName val="Office of the Chair"/>
      <sheetName val="OOC w-o Adm"/>
      <sheetName val="East Power A&amp;A"/>
      <sheetName val="Gas A&amp;A"/>
      <sheetName val="Crude AA"/>
      <sheetName val="West Power A&amp;A"/>
      <sheetName val="Canada A&amp;A"/>
      <sheetName val="OOC Admin"/>
      <sheetName val="Natural Gas Admin"/>
      <sheetName val="East Power Admins"/>
      <sheetName val="West Power Admins"/>
      <sheetName val="Canada"/>
      <sheetName val="Canada Admins"/>
      <sheetName val="Reg Affairs"/>
      <sheetName val="Fundies-All"/>
      <sheetName val="Struct"/>
      <sheetName val="Weather"/>
      <sheetName val="SAP"/>
      <sheetName val="EOPs"/>
      <sheetName val="Power Logistics (2)"/>
      <sheetName val="Gas Risk"/>
      <sheetName val="Gas Vol Mgmt"/>
      <sheetName val="Gas Logistics"/>
      <sheetName val="Gas Settlemnt"/>
      <sheetName val="Pwr Risk"/>
      <sheetName val="Pwr Vol Mgmt"/>
      <sheetName val="Power Logistics"/>
      <sheetName val="Pwr Settlemt"/>
      <sheetName val="Documentation"/>
      <sheetName val="Managemt"/>
      <sheetName val="IT Dev-EOL"/>
      <sheetName val="IT Infra"/>
      <sheetName val="IT Infra-Cap"/>
      <sheetName val="EOL Support"/>
      <sheetName val="Canada Support"/>
      <sheetName val="Credit"/>
      <sheetName val="Research"/>
      <sheetName val="Mkt Risk - Combined"/>
      <sheetName val="Mkt Risk "/>
      <sheetName val="Research1"/>
      <sheetName val="Fin Ops"/>
      <sheetName val="Cash Ops"/>
      <sheetName val="Tax"/>
      <sheetName val="HR"/>
      <sheetName val="Legal"/>
      <sheetName val="IT Dev"/>
      <sheetName val="IT EOL"/>
      <sheetName val="IT All"/>
      <sheetName val="Fundies-Hou"/>
      <sheetName val="Competitive Ana"/>
      <sheetName val="Gas - Fund"/>
      <sheetName val="East - Fund"/>
      <sheetName val="West - Fund"/>
      <sheetName val="West - Struct"/>
      <sheetName val="Gas - Struct"/>
      <sheetName val="East - Stru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2">
          <cell r="G12">
            <v>1660208</v>
          </cell>
        </row>
        <row r="13">
          <cell r="G13">
            <v>869308.16</v>
          </cell>
        </row>
        <row r="14">
          <cell r="G14">
            <v>0</v>
          </cell>
        </row>
        <row r="15">
          <cell r="G15">
            <v>317266.56</v>
          </cell>
        </row>
        <row r="16">
          <cell r="G16">
            <v>0</v>
          </cell>
        </row>
        <row r="17">
          <cell r="G17">
            <v>0</v>
          </cell>
        </row>
        <row r="17">
          <cell r="L17">
            <v>0</v>
          </cell>
        </row>
        <row r="18">
          <cell r="G18">
            <v>0</v>
          </cell>
        </row>
        <row r="19">
          <cell r="G19">
            <v>2539758.08</v>
          </cell>
        </row>
        <row r="20">
          <cell r="G20">
            <v>0</v>
          </cell>
        </row>
        <row r="21">
          <cell r="G21">
            <v>8663166</v>
          </cell>
        </row>
        <row r="22">
          <cell r="G22">
            <v>0</v>
          </cell>
        </row>
        <row r="28">
          <cell r="L28">
            <v>0</v>
          </cell>
        </row>
      </sheetData>
      <sheetData sheetId="99">
        <row r="12">
          <cell r="G12">
            <v>544134</v>
          </cell>
        </row>
        <row r="13">
          <cell r="G13">
            <v>326949.68</v>
          </cell>
        </row>
        <row r="14">
          <cell r="G14">
            <v>0</v>
          </cell>
        </row>
        <row r="15">
          <cell r="G15">
            <v>178122.88</v>
          </cell>
        </row>
        <row r="16">
          <cell r="G16">
            <v>0</v>
          </cell>
        </row>
        <row r="17">
          <cell r="G17">
            <v>0</v>
          </cell>
        </row>
        <row r="17">
          <cell r="L17">
            <v>0</v>
          </cell>
        </row>
        <row r="18">
          <cell r="G18">
            <v>0</v>
          </cell>
        </row>
        <row r="19">
          <cell r="G19">
            <v>285541.84</v>
          </cell>
        </row>
        <row r="20">
          <cell r="G20">
            <v>0</v>
          </cell>
        </row>
        <row r="21">
          <cell r="G21">
            <v>1124911.4</v>
          </cell>
        </row>
        <row r="22">
          <cell r="G22">
            <v>0</v>
          </cell>
        </row>
        <row r="28">
          <cell r="L28">
            <v>0</v>
          </cell>
        </row>
      </sheetData>
      <sheetData sheetId="100"/>
      <sheetData sheetId="101"/>
      <sheetData sheetId="102">
        <row r="8">
          <cell r="F8">
            <v>406800</v>
          </cell>
        </row>
        <row r="10">
          <cell r="F10">
            <v>0</v>
          </cell>
        </row>
        <row r="11">
          <cell r="F11">
            <v>81360</v>
          </cell>
        </row>
        <row r="12">
          <cell r="F12">
            <v>19057.9910714286</v>
          </cell>
        </row>
        <row r="13">
          <cell r="F13">
            <v>119999.695714286</v>
          </cell>
        </row>
        <row r="14">
          <cell r="F14">
            <v>479999.981428571</v>
          </cell>
        </row>
        <row r="15">
          <cell r="F15">
            <v>6531.41369047619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249.366071428571</v>
          </cell>
        </row>
        <row r="19">
          <cell r="F19">
            <v>67497.3940476191</v>
          </cell>
        </row>
        <row r="20">
          <cell r="F20">
            <v>2.42559523809524</v>
          </cell>
        </row>
        <row r="21">
          <cell r="F21">
            <v>56238.3142857143</v>
          </cell>
        </row>
        <row r="22">
          <cell r="F22">
            <v>146.773095238095</v>
          </cell>
        </row>
        <row r="25">
          <cell r="F25">
            <v>5</v>
          </cell>
        </row>
        <row r="27">
          <cell r="F27">
            <v>0</v>
          </cell>
        </row>
      </sheetData>
      <sheetData sheetId="103">
        <row r="8">
          <cell r="H8">
            <v>591580</v>
          </cell>
        </row>
        <row r="10">
          <cell r="H10">
            <v>779900</v>
          </cell>
        </row>
        <row r="11">
          <cell r="H11">
            <v>274296</v>
          </cell>
        </row>
        <row r="12">
          <cell r="H12">
            <v>86274.6325</v>
          </cell>
        </row>
        <row r="13">
          <cell r="H13">
            <v>10000.3968333333</v>
          </cell>
        </row>
        <row r="14">
          <cell r="H14">
            <v>475600.028</v>
          </cell>
        </row>
        <row r="15">
          <cell r="H15">
            <v>12199.0166666667</v>
          </cell>
        </row>
        <row r="16">
          <cell r="H16">
            <v>0</v>
          </cell>
        </row>
        <row r="17">
          <cell r="H17">
            <v>688.333333333333</v>
          </cell>
        </row>
        <row r="18">
          <cell r="H18">
            <v>12501.4073333333</v>
          </cell>
        </row>
        <row r="19">
          <cell r="H19">
            <v>12741.204</v>
          </cell>
        </row>
        <row r="20">
          <cell r="H20">
            <v>1.86666666666667</v>
          </cell>
        </row>
        <row r="21">
          <cell r="H21">
            <v>15842.0395</v>
          </cell>
        </row>
        <row r="22">
          <cell r="H22">
            <v>131069.612666667</v>
          </cell>
        </row>
        <row r="25">
          <cell r="H25">
            <v>3</v>
          </cell>
        </row>
        <row r="27">
          <cell r="H27">
            <v>11</v>
          </cell>
        </row>
      </sheetData>
      <sheetData sheetId="104">
        <row r="8">
          <cell r="F8">
            <v>318000</v>
          </cell>
        </row>
        <row r="10">
          <cell r="F10">
            <v>357600</v>
          </cell>
        </row>
        <row r="11">
          <cell r="F11">
            <v>135120</v>
          </cell>
        </row>
        <row r="12">
          <cell r="F12">
            <v>44200.8556028369</v>
          </cell>
        </row>
        <row r="13">
          <cell r="F13">
            <v>80573.7063262411</v>
          </cell>
        </row>
        <row r="14">
          <cell r="F14">
            <v>1000000</v>
          </cell>
        </row>
        <row r="15">
          <cell r="F15">
            <v>7405.27557446808</v>
          </cell>
        </row>
        <row r="16">
          <cell r="F16">
            <v>0</v>
          </cell>
        </row>
        <row r="17">
          <cell r="F17">
            <v>420.992907801418</v>
          </cell>
        </row>
        <row r="18">
          <cell r="F18">
            <v>22.82019858156</v>
          </cell>
        </row>
        <row r="19">
          <cell r="F19">
            <v>38695.5392907801</v>
          </cell>
        </row>
        <row r="20">
          <cell r="F20">
            <v>6.21004255319149</v>
          </cell>
        </row>
        <row r="21">
          <cell r="F21">
            <v>50313.2992907801</v>
          </cell>
        </row>
        <row r="22">
          <cell r="F22">
            <v>94.5438865248227</v>
          </cell>
        </row>
        <row r="25">
          <cell r="F25">
            <v>3</v>
          </cell>
        </row>
        <row r="27">
          <cell r="F27">
            <v>4</v>
          </cell>
        </row>
      </sheetData>
      <sheetData sheetId="105">
        <row r="8">
          <cell r="G8">
            <v>495000</v>
          </cell>
        </row>
        <row r="10">
          <cell r="G10">
            <v>132000</v>
          </cell>
        </row>
        <row r="11">
          <cell r="G11">
            <v>125400</v>
          </cell>
        </row>
        <row r="12">
          <cell r="G12">
            <v>30000</v>
          </cell>
        </row>
        <row r="13">
          <cell r="G13">
            <v>30000</v>
          </cell>
        </row>
        <row r="14">
          <cell r="G14">
            <v>80000</v>
          </cell>
        </row>
        <row r="15">
          <cell r="G15">
            <v>20160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6300</v>
          </cell>
        </row>
        <row r="19">
          <cell r="G19">
            <v>49612.0016179775</v>
          </cell>
        </row>
        <row r="20">
          <cell r="G20">
            <v>0</v>
          </cell>
        </row>
        <row r="21">
          <cell r="G21">
            <v>71336.4406292135</v>
          </cell>
        </row>
        <row r="22">
          <cell r="G22">
            <v>9527.50651685393</v>
          </cell>
        </row>
        <row r="25">
          <cell r="G25">
            <v>5</v>
          </cell>
        </row>
        <row r="27">
          <cell r="G27">
            <v>2</v>
          </cell>
        </row>
      </sheetData>
      <sheetData sheetId="106">
        <row r="8">
          <cell r="G8">
            <v>120000</v>
          </cell>
        </row>
        <row r="10">
          <cell r="G10">
            <v>97200</v>
          </cell>
        </row>
        <row r="11">
          <cell r="G11">
            <v>43440</v>
          </cell>
        </row>
        <row r="12">
          <cell r="G12">
            <v>14400</v>
          </cell>
        </row>
        <row r="13">
          <cell r="G13">
            <v>27800</v>
          </cell>
        </row>
        <row r="14">
          <cell r="G14">
            <v>0.00862921347443977</v>
          </cell>
        </row>
        <row r="15">
          <cell r="G15">
            <v>5760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1800</v>
          </cell>
        </row>
        <row r="19">
          <cell r="G19">
            <v>5603.42903370787</v>
          </cell>
        </row>
        <row r="20">
          <cell r="G20">
            <v>4.1761797752809</v>
          </cell>
        </row>
        <row r="21">
          <cell r="G21">
            <v>5000</v>
          </cell>
        </row>
        <row r="22">
          <cell r="G22">
            <v>2722.14471910112</v>
          </cell>
        </row>
        <row r="25">
          <cell r="G25">
            <v>1</v>
          </cell>
        </row>
        <row r="27">
          <cell r="G27">
            <v>1</v>
          </cell>
        </row>
      </sheetData>
      <sheetData sheetId="107">
        <row r="8">
          <cell r="H8">
            <v>475200</v>
          </cell>
        </row>
        <row r="10">
          <cell r="H10">
            <v>0</v>
          </cell>
        </row>
        <row r="11">
          <cell r="H11">
            <v>95040</v>
          </cell>
        </row>
        <row r="12">
          <cell r="H12">
            <v>18487.42125</v>
          </cell>
        </row>
        <row r="13">
          <cell r="H13">
            <v>16454.87075</v>
          </cell>
        </row>
        <row r="14">
          <cell r="H14">
            <v>0.00600000000049476</v>
          </cell>
        </row>
        <row r="15">
          <cell r="H15">
            <v>2614.075</v>
          </cell>
        </row>
        <row r="16">
          <cell r="H16">
            <v>0</v>
          </cell>
        </row>
        <row r="17">
          <cell r="H17">
            <v>147.5</v>
          </cell>
        </row>
        <row r="18">
          <cell r="H18">
            <v>2678.873</v>
          </cell>
        </row>
        <row r="19">
          <cell r="H19">
            <v>2730.258</v>
          </cell>
        </row>
        <row r="20">
          <cell r="H20">
            <v>0.4</v>
          </cell>
        </row>
        <row r="21">
          <cell r="H21">
            <v>3394.72275</v>
          </cell>
        </row>
        <row r="22">
          <cell r="H22">
            <v>0.417000000044936</v>
          </cell>
        </row>
        <row r="25">
          <cell r="H25">
            <v>3</v>
          </cell>
        </row>
        <row r="27">
          <cell r="H27">
            <v>0</v>
          </cell>
        </row>
      </sheetData>
      <sheetData sheetId="10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fin ops"/>
      <sheetName val="cash ops"/>
      <sheetName val="sapactivexlhiddensheet"/>
      <sheetName val="Variance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EOPs"/>
      <sheetName val="Gas Risk"/>
      <sheetName val="Gas Vol Mgmt"/>
      <sheetName val="Gas Logistics"/>
      <sheetName val="Gas Settlemnt"/>
      <sheetName val="Pwr Risk"/>
      <sheetName val="Pwr Vol Mgmt"/>
      <sheetName val="Power Logistics"/>
      <sheetName val="Pwr Settlemt"/>
      <sheetName val="Documentation"/>
      <sheetName val="Managemt"/>
    </sheetNames>
    <sheetDataSet>
      <sheetData sheetId="0">
        <row r="16">
          <cell r="H16">
            <v>0</v>
          </cell>
        </row>
        <row r="17">
          <cell r="H17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OPs"/>
      <sheetName val="Gas Risk"/>
      <sheetName val="Gas Vol Mgmt"/>
      <sheetName val="Gas Logistics"/>
      <sheetName val="Gas Settlemnt"/>
      <sheetName val="Pwr Risk"/>
      <sheetName val="Pwr Vol Mgmt"/>
      <sheetName val="Power Logistics"/>
      <sheetName val="Pwr Settlemt"/>
      <sheetName val="Documentation"/>
      <sheetName val="Managemt"/>
    </sheetNames>
    <sheetDataSet>
      <sheetData sheetId="0">
        <row r="16">
          <cell r="H16">
            <v>0</v>
          </cell>
        </row>
        <row r="17">
          <cell r="H17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Deriv-Mex"/>
      <sheetName val="Mexico"/>
      <sheetName val="Derivatives &amp; Wellhead"/>
      <sheetName val="Derivatives w-o AA"/>
      <sheetName val="Derivatives AA"/>
    </sheetNames>
    <sheetDataSet>
      <sheetData sheetId="0"/>
      <sheetData sheetId="1"/>
      <sheetData sheetId="2">
        <row r="25">
          <cell r="H25">
            <v>2</v>
          </cell>
        </row>
        <row r="27">
          <cell r="H27">
            <v>0</v>
          </cell>
        </row>
      </sheetData>
      <sheetData sheetId="3">
        <row r="25">
          <cell r="H25">
            <v>9</v>
          </cell>
        </row>
        <row r="27">
          <cell r="H27">
            <v>1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West Power Consolidated Trading"/>
      <sheetName val="West Power Trading"/>
      <sheetName val="West Power A&amp;A"/>
      <sheetName val="West Power Origination"/>
      <sheetName val="West Power Admins"/>
      <sheetName val="West - Struct"/>
      <sheetName val="West - Fund"/>
    </sheetNames>
    <sheetDataSet>
      <sheetData sheetId="0"/>
      <sheetData sheetId="1"/>
      <sheetData sheetId="2">
        <row r="8">
          <cell r="G8">
            <v>2157000</v>
          </cell>
        </row>
        <row r="10">
          <cell r="G10">
            <v>0</v>
          </cell>
        </row>
        <row r="11">
          <cell r="G11">
            <v>431400</v>
          </cell>
        </row>
        <row r="12">
          <cell r="G12">
            <v>169644.444444444</v>
          </cell>
        </row>
        <row r="13">
          <cell r="G13">
            <v>200400</v>
          </cell>
        </row>
        <row r="14">
          <cell r="G14">
            <v>160000</v>
          </cell>
        </row>
        <row r="15">
          <cell r="G15">
            <v>46080</v>
          </cell>
        </row>
        <row r="16">
          <cell r="G16">
            <v>20000</v>
          </cell>
        </row>
        <row r="17">
          <cell r="G17">
            <v>6094</v>
          </cell>
        </row>
        <row r="18">
          <cell r="G18">
            <v>92400</v>
          </cell>
        </row>
        <row r="19">
          <cell r="G19">
            <v>72355.5555555556</v>
          </cell>
        </row>
        <row r="20">
          <cell r="G20">
            <v>0</v>
          </cell>
        </row>
        <row r="21">
          <cell r="G21">
            <v>75000</v>
          </cell>
        </row>
        <row r="22">
          <cell r="G22">
            <v>21777.157752809</v>
          </cell>
        </row>
        <row r="25">
          <cell r="G25">
            <v>16</v>
          </cell>
        </row>
        <row r="27">
          <cell r="G27">
            <v>0</v>
          </cell>
        </row>
      </sheetData>
      <sheetData sheetId="3">
        <row r="8">
          <cell r="G8">
            <v>0</v>
          </cell>
        </row>
        <row r="10">
          <cell r="G10">
            <v>559200</v>
          </cell>
        </row>
        <row r="11">
          <cell r="G11">
            <v>111840</v>
          </cell>
        </row>
        <row r="12">
          <cell r="G12">
            <v>38044.4444444444</v>
          </cell>
        </row>
        <row r="13">
          <cell r="G13">
            <v>93600</v>
          </cell>
        </row>
        <row r="14">
          <cell r="G14">
            <v>0.0345168538977591</v>
          </cell>
        </row>
        <row r="15">
          <cell r="G15">
            <v>23040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7200</v>
          </cell>
        </row>
        <row r="19">
          <cell r="G19">
            <v>31644.4444444444</v>
          </cell>
        </row>
        <row r="20">
          <cell r="G20">
            <v>0</v>
          </cell>
        </row>
        <row r="21">
          <cell r="G21">
            <v>10000</v>
          </cell>
        </row>
        <row r="22">
          <cell r="G22">
            <v>10888.5788764045</v>
          </cell>
        </row>
        <row r="25">
          <cell r="G25">
            <v>0</v>
          </cell>
        </row>
        <row r="27">
          <cell r="G27">
            <v>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1.vml"/>
</Relationships>
</file>

<file path=xl/worksheets/_rels/sheet66.xml.rels><?xml version="1.0" encoding="UTF-8"?>
<Relationships xmlns="http://schemas.openxmlformats.org/package/2006/relationships"><Relationship Id="rId1" Type="http://schemas.openxmlformats.org/officeDocument/2006/relationships/comments" Target="../comments66.xml"/><Relationship Id="rId2" Type="http://schemas.openxmlformats.org/officeDocument/2006/relationships/vmlDrawing" Target="../drawings/vmlDrawing2.vml"/>
</Relationships>
</file>

<file path=xl/worksheets/_rels/sheet67.xml.rels><?xml version="1.0" encoding="UTF-8"?>
<Relationships xmlns="http://schemas.openxmlformats.org/package/2006/relationships"><Relationship Id="rId1" Type="http://schemas.openxmlformats.org/officeDocument/2006/relationships/comments" Target="../comments67.xml"/><Relationship Id="rId2" Type="http://schemas.openxmlformats.org/officeDocument/2006/relationships/vmlDrawing" Target="../drawings/vmlDrawing3.vml"/>
</Relationships>
</file>

<file path=xl/worksheets/_rels/sheet68.xml.rels><?xml version="1.0" encoding="UTF-8"?>
<Relationships xmlns="http://schemas.openxmlformats.org/package/2006/relationships"><Relationship Id="rId1" Type="http://schemas.openxmlformats.org/officeDocument/2006/relationships/comments" Target="../comments68.xml"/><Relationship Id="rId2" Type="http://schemas.openxmlformats.org/officeDocument/2006/relationships/vmlDrawing" Target="../drawings/vmlDrawing4.vml"/>
</Relationships>
</file>

<file path=xl/worksheets/_rels/sheet83.xml.rels><?xml version="1.0" encoding="UTF-8"?>
<Relationships xmlns="http://schemas.openxmlformats.org/package/2006/relationships"><Relationship Id="rId1" Type="http://schemas.openxmlformats.org/officeDocument/2006/relationships/comments" Target="../comments83.xml"/><Relationship Id="rId2" Type="http://schemas.openxmlformats.org/officeDocument/2006/relationships/vmlDrawing" Target="../drawings/vmlDrawing5.vml"/>
</Relationships>
</file>

<file path=xl/worksheets/_rels/sheet86.xml.rels><?xml version="1.0" encoding="UTF-8"?>
<Relationships xmlns="http://schemas.openxmlformats.org/package/2006/relationships"><Relationship Id="rId1" Type="http://schemas.openxmlformats.org/officeDocument/2006/relationships/comments" Target="../comments86.xml"/><Relationship Id="rId2" Type="http://schemas.openxmlformats.org/officeDocument/2006/relationships/vmlDrawing" Target="../drawings/vmlDrawing6.vml"/>
</Relationships>
</file>

<file path=xl/worksheets/_rels/sheet87.xml.rels><?xml version="1.0" encoding="UTF-8"?>
<Relationships xmlns="http://schemas.openxmlformats.org/package/2006/relationships"><Relationship Id="rId1" Type="http://schemas.openxmlformats.org/officeDocument/2006/relationships/comments" Target="../comments87.xml"/><Relationship Id="rId2" Type="http://schemas.openxmlformats.org/officeDocument/2006/relationships/vmlDrawing" Target="../drawings/vmlDrawing7.vml"/>
</Relationships>
</file>

<file path=xl/worksheets/_rels/sheet88.xml.rels><?xml version="1.0" encoding="UTF-8"?>
<Relationships xmlns="http://schemas.openxmlformats.org/package/2006/relationships"><Relationship Id="rId1" Type="http://schemas.openxmlformats.org/officeDocument/2006/relationships/comments" Target="../comments88.xml"/><Relationship Id="rId2" Type="http://schemas.openxmlformats.org/officeDocument/2006/relationships/vmlDrawing" Target="../drawings/vmlDrawing8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2</v>
      </c>
      <c r="I5" s="1"/>
      <c r="J5" s="4" t="n">
        <v>2000</v>
      </c>
      <c r="L5" s="4" t="s">
        <v>3</v>
      </c>
      <c r="N5" s="4" t="n">
        <v>2001</v>
      </c>
      <c r="P5" s="4" t="s">
        <v>1</v>
      </c>
      <c r="T5" s="4" t="s">
        <v>1</v>
      </c>
    </row>
    <row r="6" customFormat="false" ht="13.5" hidden="false" customHeight="false" outlineLevel="0" collapsed="false">
      <c r="E6" s="4" t="s">
        <v>4</v>
      </c>
      <c r="G6" s="5" t="s">
        <v>5</v>
      </c>
      <c r="H6" s="6" t="s">
        <v>6</v>
      </c>
      <c r="I6" s="1"/>
      <c r="J6" s="6" t="s">
        <v>7</v>
      </c>
      <c r="K6" s="1"/>
      <c r="L6" s="6" t="s">
        <v>6</v>
      </c>
      <c r="M6" s="7"/>
      <c r="N6" s="6" t="s">
        <v>7</v>
      </c>
      <c r="O6" s="7"/>
      <c r="P6" s="6" t="s">
        <v>6</v>
      </c>
      <c r="R6" s="4" t="s">
        <v>8</v>
      </c>
      <c r="T6" s="6" t="s">
        <v>7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9</v>
      </c>
      <c r="E9" s="11" t="n">
        <v>0</v>
      </c>
      <c r="F9" s="12"/>
      <c r="G9" s="11" t="n">
        <v>0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10</v>
      </c>
      <c r="N9" s="14" t="n">
        <f aca="false">164-37+16</f>
        <v>143</v>
      </c>
      <c r="O9" s="12"/>
      <c r="P9" s="11" t="n">
        <v>1.2</v>
      </c>
      <c r="Q9" s="12"/>
      <c r="R9" s="11" t="n">
        <f aca="false">G9-P9</f>
        <v>-1.2</v>
      </c>
      <c r="T9" s="14" t="n">
        <v>5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true" outlineLevel="0" collapsed="false">
      <c r="B11" s="0" t="s">
        <v>11</v>
      </c>
      <c r="E11" s="11" t="n">
        <v>0</v>
      </c>
      <c r="F11" s="12"/>
      <c r="G11" s="11" t="n">
        <v>0</v>
      </c>
      <c r="H11" s="11"/>
      <c r="I11" s="12"/>
      <c r="J11" s="13"/>
      <c r="K11" s="12"/>
      <c r="L11" s="11"/>
      <c r="M11" s="12"/>
      <c r="N11" s="14"/>
      <c r="O11" s="12"/>
      <c r="P11" s="11" t="n">
        <v>5.6</v>
      </c>
      <c r="Q11" s="12"/>
      <c r="R11" s="11" t="n">
        <f aca="false">G11-P11</f>
        <v>-5.6</v>
      </c>
      <c r="T11" s="14" t="n">
        <v>8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3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true" outlineLevel="0" collapsed="false">
      <c r="B13" s="0" t="s">
        <v>12</v>
      </c>
      <c r="E13" s="11" t="n">
        <v>0</v>
      </c>
      <c r="F13" s="12"/>
      <c r="G13" s="11" t="n">
        <v>0</v>
      </c>
      <c r="H13" s="11"/>
      <c r="I13" s="12"/>
      <c r="J13" s="13"/>
      <c r="K13" s="12"/>
      <c r="L13" s="11"/>
      <c r="M13" s="12"/>
      <c r="N13" s="14"/>
      <c r="O13" s="12"/>
      <c r="P13" s="11" t="n">
        <v>1.6</v>
      </c>
      <c r="Q13" s="12"/>
      <c r="R13" s="11" t="n">
        <f aca="false">G13-P13</f>
        <v>-1.6</v>
      </c>
      <c r="T13" s="14" t="n">
        <v>8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true" outlineLevel="0" collapsed="false">
      <c r="B15" s="0" t="s">
        <v>13</v>
      </c>
      <c r="E15" s="11" t="n">
        <v>0</v>
      </c>
      <c r="F15" s="12"/>
      <c r="G15" s="11" t="n">
        <v>0</v>
      </c>
      <c r="H15" s="11"/>
      <c r="I15" s="12"/>
      <c r="J15" s="13"/>
      <c r="K15" s="12"/>
      <c r="L15" s="11"/>
      <c r="M15" s="12"/>
      <c r="N15" s="14"/>
      <c r="O15" s="12"/>
      <c r="P15" s="11" t="n">
        <v>1.8</v>
      </c>
      <c r="Q15" s="12"/>
      <c r="R15" s="11" t="n">
        <f aca="false">G15-P15</f>
        <v>-1.8</v>
      </c>
      <c r="T15" s="14" t="n">
        <v>10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3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true" outlineLevel="0" collapsed="false">
      <c r="B17" s="0" t="s">
        <v>14</v>
      </c>
      <c r="E17" s="11" t="n">
        <v>0</v>
      </c>
      <c r="F17" s="12"/>
      <c r="G17" s="11" t="n">
        <v>0</v>
      </c>
      <c r="H17" s="11"/>
      <c r="I17" s="12"/>
      <c r="J17" s="13"/>
      <c r="K17" s="12"/>
      <c r="L17" s="11"/>
      <c r="M17" s="12"/>
      <c r="N17" s="14"/>
      <c r="O17" s="12"/>
      <c r="P17" s="11" t="n">
        <v>1.6</v>
      </c>
      <c r="Q17" s="12"/>
      <c r="R17" s="11" t="n">
        <f aca="false">G17-P17</f>
        <v>-1.6</v>
      </c>
      <c r="T17" s="14" t="n">
        <v>7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true" outlineLevel="0" collapsed="false">
      <c r="B19" s="0" t="s">
        <v>15</v>
      </c>
      <c r="E19" s="11" t="n">
        <v>0</v>
      </c>
      <c r="F19" s="12"/>
      <c r="G19" s="11" t="n">
        <v>0</v>
      </c>
      <c r="H19" s="11"/>
      <c r="I19" s="12"/>
      <c r="J19" s="13"/>
      <c r="K19" s="12"/>
      <c r="L19" s="11"/>
      <c r="M19" s="12"/>
      <c r="N19" s="14"/>
      <c r="O19" s="12"/>
      <c r="P19" s="11" t="n">
        <v>1.5</v>
      </c>
      <c r="Q19" s="12"/>
      <c r="R19" s="11" t="n">
        <f aca="false">G19-P19</f>
        <v>-1.5</v>
      </c>
      <c r="T19" s="14" t="n">
        <v>4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3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16</v>
      </c>
      <c r="E21" s="11" t="n">
        <v>0</v>
      </c>
      <c r="F21" s="12"/>
      <c r="G21" s="11" t="n">
        <v>0</v>
      </c>
      <c r="H21" s="11"/>
      <c r="I21" s="12"/>
      <c r="J21" s="13"/>
      <c r="K21" s="12"/>
      <c r="L21" s="11" t="s">
        <v>10</v>
      </c>
      <c r="M21" s="12"/>
      <c r="N21" s="14"/>
      <c r="O21" s="12"/>
      <c r="P21" s="11" t="n">
        <v>1.1</v>
      </c>
      <c r="Q21" s="12"/>
      <c r="R21" s="11" t="n">
        <f aca="false">G21-P21</f>
        <v>-1.1</v>
      </c>
      <c r="T21" s="14" t="n">
        <v>4</v>
      </c>
    </row>
    <row r="22" customFormat="false" ht="6.75" hidden="false" customHeight="true" outlineLevel="0" collapsed="false"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</row>
    <row r="23" customFormat="false" ht="12.75" hidden="false" customHeight="false" outlineLevel="0" collapsed="false">
      <c r="B23" s="0" t="s">
        <v>17</v>
      </c>
      <c r="E23" s="11" t="n">
        <v>0</v>
      </c>
      <c r="F23" s="12"/>
      <c r="G23" s="11" t="n">
        <v>0</v>
      </c>
      <c r="H23" s="11"/>
      <c r="I23" s="12"/>
      <c r="J23" s="13"/>
      <c r="K23" s="12"/>
      <c r="L23" s="11"/>
      <c r="M23" s="12"/>
      <c r="N23" s="14"/>
      <c r="O23" s="12"/>
      <c r="P23" s="11" t="n">
        <v>1.9</v>
      </c>
      <c r="Q23" s="12"/>
      <c r="R23" s="11" t="n">
        <f aca="false">G23-P23</f>
        <v>-1.9</v>
      </c>
      <c r="T23" s="14" t="n">
        <v>7</v>
      </c>
    </row>
    <row r="24" customFormat="false" ht="6.75" hidden="false" customHeight="true" outlineLevel="0" collapsed="false">
      <c r="E24" s="11"/>
      <c r="F24" s="12"/>
      <c r="G24" s="11"/>
      <c r="H24" s="11"/>
      <c r="I24" s="12"/>
      <c r="J24" s="15"/>
      <c r="K24" s="12"/>
      <c r="L24" s="11"/>
      <c r="M24" s="12"/>
      <c r="N24" s="14"/>
      <c r="O24" s="12"/>
      <c r="P24" s="11"/>
      <c r="Q24" s="12"/>
      <c r="R24" s="11"/>
      <c r="T24" s="14"/>
    </row>
    <row r="25" customFormat="false" ht="12.75" hidden="false" customHeight="false" outlineLevel="0" collapsed="false">
      <c r="B25" s="0" t="s">
        <v>18</v>
      </c>
      <c r="E25" s="11" t="n">
        <v>0</v>
      </c>
      <c r="F25" s="12"/>
      <c r="G25" s="11" t="n">
        <v>0</v>
      </c>
      <c r="H25" s="11"/>
      <c r="I25" s="12"/>
      <c r="J25" s="13"/>
      <c r="K25" s="12"/>
      <c r="L25" s="11"/>
      <c r="M25" s="12"/>
      <c r="N25" s="14"/>
      <c r="O25" s="12"/>
      <c r="P25" s="11" t="n">
        <v>1.7</v>
      </c>
      <c r="Q25" s="12"/>
      <c r="R25" s="11" t="n">
        <f aca="false">G25-P25</f>
        <v>-1.7</v>
      </c>
      <c r="T25" s="14" t="n">
        <v>7</v>
      </c>
    </row>
    <row r="26" customFormat="false" ht="6.75" hidden="false" customHeight="true" outlineLevel="0" collapsed="false">
      <c r="E26" s="11"/>
      <c r="F26" s="12"/>
      <c r="G26" s="11"/>
      <c r="H26" s="11"/>
      <c r="I26" s="12"/>
      <c r="J26" s="15"/>
      <c r="K26" s="12"/>
      <c r="L26" s="11"/>
      <c r="M26" s="12"/>
      <c r="N26" s="14"/>
      <c r="O26" s="12"/>
      <c r="P26" s="11"/>
      <c r="Q26" s="12"/>
      <c r="R26" s="11"/>
      <c r="T26" s="14"/>
    </row>
    <row r="27" customFormat="false" ht="12.75" hidden="false" customHeight="false" outlineLevel="0" collapsed="false">
      <c r="B27" s="0" t="s">
        <v>19</v>
      </c>
      <c r="E27" s="11" t="n">
        <v>0</v>
      </c>
      <c r="F27" s="12"/>
      <c r="G27" s="11" t="n">
        <v>0</v>
      </c>
      <c r="H27" s="11"/>
      <c r="I27" s="12"/>
      <c r="J27" s="13"/>
      <c r="K27" s="12"/>
      <c r="L27" s="11"/>
      <c r="M27" s="12"/>
      <c r="N27" s="14"/>
      <c r="O27" s="12"/>
      <c r="P27" s="11" t="n">
        <v>2.7</v>
      </c>
      <c r="Q27" s="12"/>
      <c r="R27" s="11" t="n">
        <f aca="false">G27-P27</f>
        <v>-2.7</v>
      </c>
      <c r="T27" s="14" t="n">
        <v>12</v>
      </c>
    </row>
    <row r="28" customFormat="false" ht="6.75" hidden="true" customHeight="true" outlineLevel="0" collapsed="false">
      <c r="E28" s="11"/>
      <c r="F28" s="12"/>
      <c r="G28" s="11"/>
      <c r="H28" s="11"/>
      <c r="I28" s="12"/>
      <c r="J28" s="15"/>
      <c r="K28" s="12"/>
      <c r="L28" s="11"/>
      <c r="M28" s="12"/>
      <c r="N28" s="14"/>
      <c r="O28" s="12"/>
      <c r="P28" s="11"/>
      <c r="Q28" s="12"/>
      <c r="R28" s="11"/>
      <c r="T28" s="14"/>
    </row>
    <row r="29" customFormat="false" ht="12.75" hidden="true" customHeight="false" outlineLevel="0" collapsed="false">
      <c r="B29" s="0" t="s">
        <v>20</v>
      </c>
      <c r="E29" s="11" t="n">
        <v>0</v>
      </c>
      <c r="F29" s="12"/>
      <c r="G29" s="11" t="n">
        <v>0</v>
      </c>
      <c r="H29" s="11"/>
      <c r="I29" s="12"/>
      <c r="J29" s="13"/>
      <c r="K29" s="12"/>
      <c r="L29" s="11"/>
      <c r="M29" s="12"/>
      <c r="N29" s="14"/>
      <c r="O29" s="12"/>
      <c r="P29" s="11" t="n">
        <v>0</v>
      </c>
      <c r="Q29" s="12"/>
      <c r="R29" s="11" t="n">
        <f aca="false">G29-P29</f>
        <v>0</v>
      </c>
      <c r="T29" s="14" t="n">
        <v>0</v>
      </c>
    </row>
    <row r="30" customFormat="false" ht="5.25" hidden="false" customHeight="true" outlineLevel="0" collapsed="false">
      <c r="E30" s="11"/>
      <c r="F30" s="12"/>
      <c r="G30" s="11"/>
      <c r="H30" s="11"/>
      <c r="I30" s="12"/>
      <c r="J30" s="13"/>
      <c r="K30" s="12"/>
      <c r="L30" s="11"/>
      <c r="M30" s="12"/>
      <c r="N30" s="14"/>
      <c r="O30" s="12"/>
      <c r="P30" s="11"/>
      <c r="Q30" s="12"/>
      <c r="R30" s="11"/>
      <c r="T30" s="14"/>
    </row>
    <row r="31" customFormat="false" ht="12.75" hidden="false" customHeight="false" outlineLevel="0" collapsed="false">
      <c r="B31" s="0" t="s">
        <v>21</v>
      </c>
      <c r="E31" s="11" t="n">
        <v>0</v>
      </c>
      <c r="F31" s="12"/>
      <c r="G31" s="16" t="n">
        <v>0</v>
      </c>
      <c r="H31" s="11"/>
      <c r="I31" s="12"/>
      <c r="J31" s="13"/>
      <c r="K31" s="12"/>
      <c r="L31" s="11"/>
      <c r="M31" s="12"/>
      <c r="N31" s="14"/>
      <c r="O31" s="12"/>
      <c r="P31" s="11" t="n">
        <v>0.6</v>
      </c>
      <c r="Q31" s="12"/>
      <c r="R31" s="11" t="n">
        <f aca="false">G31-P31</f>
        <v>-0.6</v>
      </c>
      <c r="T31" s="14" t="n">
        <v>3</v>
      </c>
    </row>
    <row r="32" customFormat="false" ht="6.75" hidden="false" customHeight="true" outlineLevel="0" collapsed="false">
      <c r="E32" s="11"/>
      <c r="F32" s="12"/>
      <c r="G32" s="11"/>
      <c r="H32" s="11"/>
      <c r="I32" s="12"/>
      <c r="J32" s="13"/>
      <c r="K32" s="12"/>
      <c r="L32" s="11"/>
      <c r="M32" s="12"/>
      <c r="N32" s="14"/>
      <c r="O32" s="12"/>
      <c r="P32" s="11"/>
      <c r="Q32" s="12"/>
      <c r="R32" s="11"/>
      <c r="T32" s="14"/>
    </row>
    <row r="33" customFormat="false" ht="12.75" hidden="false" customHeight="false" outlineLevel="0" collapsed="false">
      <c r="B33" s="17" t="s">
        <v>22</v>
      </c>
      <c r="C33" s="17"/>
      <c r="D33" s="17"/>
      <c r="E33" s="16" t="n">
        <v>0</v>
      </c>
      <c r="F33" s="18"/>
      <c r="G33" s="16" t="n">
        <v>425</v>
      </c>
      <c r="H33" s="16"/>
      <c r="I33" s="18"/>
      <c r="J33" s="19"/>
      <c r="K33" s="18"/>
      <c r="L33" s="16"/>
      <c r="M33" s="18"/>
      <c r="N33" s="20"/>
      <c r="O33" s="18"/>
      <c r="P33" s="16" t="n">
        <f aca="false">SUM(P9:P31)</f>
        <v>21.3</v>
      </c>
      <c r="Q33" s="18"/>
      <c r="R33" s="16" t="n">
        <f aca="false">G33-P33</f>
        <v>403.7</v>
      </c>
      <c r="S33" s="17"/>
      <c r="T33" s="20" t="n">
        <f aca="false">SUM(T9:T31)</f>
        <v>75</v>
      </c>
    </row>
    <row r="34" customFormat="false" ht="6" hidden="false" customHeight="true" outlineLevel="0" collapsed="false">
      <c r="B34" s="17"/>
      <c r="C34" s="17"/>
      <c r="D34" s="17"/>
      <c r="E34" s="16"/>
      <c r="F34" s="18"/>
      <c r="G34" s="16"/>
      <c r="H34" s="16"/>
      <c r="I34" s="18"/>
      <c r="J34" s="19"/>
      <c r="K34" s="18"/>
      <c r="L34" s="16"/>
      <c r="M34" s="18"/>
      <c r="N34" s="20"/>
      <c r="O34" s="18"/>
      <c r="P34" s="16"/>
      <c r="Q34" s="18"/>
      <c r="R34" s="16"/>
      <c r="S34" s="17"/>
      <c r="T34" s="20"/>
    </row>
    <row r="35" customFormat="false" ht="12.75" hidden="false" customHeight="false" outlineLevel="0" collapsed="false">
      <c r="B35" s="21" t="s">
        <v>23</v>
      </c>
      <c r="C35" s="17"/>
      <c r="D35" s="17"/>
      <c r="E35" s="16" t="n">
        <v>0</v>
      </c>
      <c r="F35" s="22"/>
      <c r="G35" s="16" t="n">
        <v>0</v>
      </c>
      <c r="H35" s="23"/>
      <c r="I35" s="22"/>
      <c r="J35" s="24"/>
      <c r="K35" s="22"/>
      <c r="L35" s="23"/>
      <c r="M35" s="22"/>
      <c r="N35" s="25"/>
      <c r="O35" s="22"/>
      <c r="P35" s="23" t="n">
        <v>1.2</v>
      </c>
      <c r="Q35" s="22"/>
      <c r="R35" s="11" t="n">
        <f aca="false">G35-P35</f>
        <v>-1.2</v>
      </c>
      <c r="S35" s="21"/>
      <c r="T35" s="25" t="n">
        <v>5</v>
      </c>
    </row>
    <row r="36" customFormat="false" ht="6" hidden="false" customHeight="true" outlineLevel="0" collapsed="false">
      <c r="B36" s="21"/>
      <c r="C36" s="17"/>
      <c r="D36" s="17"/>
      <c r="E36" s="23"/>
      <c r="F36" s="22"/>
      <c r="G36" s="23"/>
      <c r="H36" s="23"/>
      <c r="I36" s="22"/>
      <c r="J36" s="24"/>
      <c r="K36" s="22"/>
      <c r="L36" s="23"/>
      <c r="M36" s="22"/>
      <c r="N36" s="25"/>
      <c r="O36" s="22"/>
      <c r="P36" s="23"/>
      <c r="Q36" s="22"/>
      <c r="R36" s="23"/>
      <c r="S36" s="21"/>
      <c r="T36" s="25"/>
    </row>
    <row r="37" customFormat="false" ht="12.75" hidden="false" customHeight="false" outlineLevel="0" collapsed="false">
      <c r="B37" s="21" t="s">
        <v>24</v>
      </c>
      <c r="C37" s="17"/>
      <c r="D37" s="17"/>
      <c r="E37" s="16" t="n">
        <v>0</v>
      </c>
      <c r="F37" s="22"/>
      <c r="G37" s="16" t="n">
        <v>0</v>
      </c>
      <c r="H37" s="23"/>
      <c r="I37" s="22"/>
      <c r="J37" s="24"/>
      <c r="K37" s="22"/>
      <c r="L37" s="23"/>
      <c r="M37" s="22"/>
      <c r="N37" s="25"/>
      <c r="O37" s="22"/>
      <c r="P37" s="23" t="n">
        <v>1.5</v>
      </c>
      <c r="Q37" s="22"/>
      <c r="R37" s="11" t="n">
        <f aca="false">G37-P37</f>
        <v>-1.5</v>
      </c>
      <c r="S37" s="21"/>
      <c r="T37" s="25" t="n">
        <v>8</v>
      </c>
    </row>
    <row r="38" customFormat="false" ht="6" hidden="false" customHeight="true" outlineLevel="0" collapsed="false">
      <c r="B38" s="21"/>
      <c r="C38" s="17"/>
      <c r="D38" s="17"/>
      <c r="E38" s="23"/>
      <c r="F38" s="22"/>
      <c r="G38" s="23"/>
      <c r="H38" s="23"/>
      <c r="I38" s="22"/>
      <c r="J38" s="24"/>
      <c r="K38" s="22"/>
      <c r="L38" s="23"/>
      <c r="M38" s="22"/>
      <c r="N38" s="25"/>
      <c r="O38" s="22"/>
      <c r="P38" s="23"/>
      <c r="Q38" s="22"/>
      <c r="R38" s="23"/>
      <c r="S38" s="21"/>
      <c r="T38" s="25"/>
    </row>
    <row r="39" customFormat="false" ht="12.75" hidden="false" customHeight="false" outlineLevel="0" collapsed="false">
      <c r="B39" s="21" t="s">
        <v>25</v>
      </c>
      <c r="C39" s="17"/>
      <c r="D39" s="17"/>
      <c r="E39" s="16" t="n">
        <v>0</v>
      </c>
      <c r="F39" s="22"/>
      <c r="G39" s="16" t="n">
        <v>0</v>
      </c>
      <c r="H39" s="23"/>
      <c r="I39" s="22"/>
      <c r="J39" s="24"/>
      <c r="K39" s="22"/>
      <c r="L39" s="23"/>
      <c r="M39" s="22"/>
      <c r="N39" s="25"/>
      <c r="O39" s="22"/>
      <c r="P39" s="23" t="n">
        <v>2.5</v>
      </c>
      <c r="Q39" s="22"/>
      <c r="R39" s="11" t="n">
        <f aca="false">G39-P39</f>
        <v>-2.5</v>
      </c>
      <c r="S39" s="21"/>
      <c r="T39" s="25" t="n">
        <v>13</v>
      </c>
    </row>
    <row r="40" customFormat="false" ht="6" hidden="false" customHeight="true" outlineLevel="0" collapsed="false">
      <c r="B40" s="21"/>
      <c r="C40" s="17"/>
      <c r="D40" s="17"/>
      <c r="E40" s="23"/>
      <c r="F40" s="22"/>
      <c r="G40" s="23"/>
      <c r="H40" s="23"/>
      <c r="I40" s="22"/>
      <c r="J40" s="24"/>
      <c r="K40" s="22"/>
      <c r="L40" s="23"/>
      <c r="M40" s="22"/>
      <c r="N40" s="25"/>
      <c r="O40" s="22"/>
      <c r="P40" s="23"/>
      <c r="Q40" s="22"/>
      <c r="R40" s="23"/>
      <c r="S40" s="21"/>
      <c r="T40" s="25"/>
    </row>
    <row r="41" customFormat="false" ht="12.75" hidden="false" customHeight="false" outlineLevel="0" collapsed="false">
      <c r="B41" s="21" t="s">
        <v>26</v>
      </c>
      <c r="C41" s="17"/>
      <c r="D41" s="17"/>
      <c r="E41" s="16" t="n">
        <v>0</v>
      </c>
      <c r="F41" s="22"/>
      <c r="G41" s="16" t="n">
        <v>0</v>
      </c>
      <c r="H41" s="23"/>
      <c r="I41" s="22"/>
      <c r="J41" s="24"/>
      <c r="K41" s="22"/>
      <c r="L41" s="23"/>
      <c r="M41" s="22"/>
      <c r="N41" s="25"/>
      <c r="O41" s="22"/>
      <c r="P41" s="23" t="n">
        <v>1.4</v>
      </c>
      <c r="Q41" s="22"/>
      <c r="R41" s="11" t="n">
        <f aca="false">G41-P41</f>
        <v>-1.4</v>
      </c>
      <c r="S41" s="21"/>
      <c r="T41" s="25" t="n">
        <v>8</v>
      </c>
    </row>
    <row r="42" customFormat="false" ht="6" hidden="false" customHeight="true" outlineLevel="0" collapsed="false">
      <c r="B42" s="21"/>
      <c r="C42" s="17"/>
      <c r="D42" s="17"/>
      <c r="E42" s="23"/>
      <c r="F42" s="22"/>
      <c r="G42" s="23"/>
      <c r="H42" s="23"/>
      <c r="I42" s="22"/>
      <c r="J42" s="24"/>
      <c r="K42" s="22"/>
      <c r="L42" s="23"/>
      <c r="M42" s="22"/>
      <c r="N42" s="25"/>
      <c r="O42" s="22"/>
      <c r="P42" s="23"/>
      <c r="Q42" s="22"/>
      <c r="R42" s="23"/>
      <c r="S42" s="21"/>
      <c r="T42" s="25"/>
    </row>
    <row r="43" customFormat="false" ht="12.75" hidden="false" customHeight="false" outlineLevel="0" collapsed="false">
      <c r="B43" s="21" t="s">
        <v>27</v>
      </c>
      <c r="C43" s="17"/>
      <c r="D43" s="17"/>
      <c r="E43" s="16" t="n">
        <v>0</v>
      </c>
      <c r="F43" s="22"/>
      <c r="G43" s="16" t="n">
        <v>0</v>
      </c>
      <c r="H43" s="23"/>
      <c r="I43" s="22"/>
      <c r="J43" s="24"/>
      <c r="K43" s="22"/>
      <c r="L43" s="23"/>
      <c r="M43" s="22"/>
      <c r="N43" s="25"/>
      <c r="O43" s="22"/>
      <c r="P43" s="23" t="n">
        <v>1.6</v>
      </c>
      <c r="Q43" s="22"/>
      <c r="R43" s="11" t="n">
        <f aca="false">G43-P43</f>
        <v>-1.6</v>
      </c>
      <c r="S43" s="21"/>
      <c r="T43" s="25" t="n">
        <v>9</v>
      </c>
    </row>
    <row r="44" customFormat="false" ht="6" hidden="false" customHeight="true" outlineLevel="0" collapsed="false">
      <c r="B44" s="21"/>
      <c r="C44" s="17"/>
      <c r="D44" s="17"/>
      <c r="E44" s="23"/>
      <c r="F44" s="22"/>
      <c r="G44" s="23"/>
      <c r="H44" s="23"/>
      <c r="I44" s="22"/>
      <c r="J44" s="24"/>
      <c r="K44" s="22"/>
      <c r="L44" s="23"/>
      <c r="M44" s="22"/>
      <c r="N44" s="25"/>
      <c r="O44" s="22"/>
      <c r="P44" s="23"/>
      <c r="Q44" s="22"/>
      <c r="R44" s="23"/>
      <c r="S44" s="21"/>
      <c r="T44" s="25"/>
    </row>
    <row r="45" customFormat="false" ht="12.75" hidden="false" customHeight="false" outlineLevel="0" collapsed="false">
      <c r="B45" s="21" t="s">
        <v>28</v>
      </c>
      <c r="C45" s="17"/>
      <c r="D45" s="17"/>
      <c r="E45" s="16" t="n">
        <v>0</v>
      </c>
      <c r="F45" s="22"/>
      <c r="G45" s="16" t="n">
        <v>0</v>
      </c>
      <c r="H45" s="23"/>
      <c r="I45" s="22"/>
      <c r="J45" s="24"/>
      <c r="K45" s="22"/>
      <c r="L45" s="23"/>
      <c r="M45" s="22"/>
      <c r="N45" s="25"/>
      <c r="O45" s="22"/>
      <c r="P45" s="23" t="n">
        <v>1.1</v>
      </c>
      <c r="Q45" s="22"/>
      <c r="R45" s="11" t="n">
        <f aca="false">G45-P45</f>
        <v>-1.1</v>
      </c>
      <c r="S45" s="21"/>
      <c r="T45" s="25" t="n">
        <v>5</v>
      </c>
    </row>
    <row r="46" customFormat="false" ht="6" hidden="false" customHeight="true" outlineLevel="0" collapsed="false">
      <c r="B46" s="21"/>
      <c r="C46" s="17"/>
      <c r="D46" s="17"/>
      <c r="E46" s="23"/>
      <c r="F46" s="22"/>
      <c r="G46" s="23"/>
      <c r="H46" s="23"/>
      <c r="I46" s="22"/>
      <c r="J46" s="24"/>
      <c r="K46" s="22"/>
      <c r="L46" s="23"/>
      <c r="M46" s="22"/>
      <c r="N46" s="25"/>
      <c r="O46" s="22"/>
      <c r="P46" s="23"/>
      <c r="Q46" s="22"/>
      <c r="R46" s="23"/>
      <c r="S46" s="21"/>
      <c r="T46" s="25"/>
    </row>
    <row r="47" customFormat="false" ht="12.75" hidden="false" customHeight="true" outlineLevel="0" collapsed="false">
      <c r="B47" s="21" t="s">
        <v>29</v>
      </c>
      <c r="C47" s="17"/>
      <c r="D47" s="17"/>
      <c r="E47" s="23" t="n">
        <v>0</v>
      </c>
      <c r="F47" s="22"/>
      <c r="G47" s="23" t="n">
        <v>0</v>
      </c>
      <c r="H47" s="23"/>
      <c r="I47" s="22"/>
      <c r="J47" s="24"/>
      <c r="K47" s="22"/>
      <c r="L47" s="23"/>
      <c r="M47" s="22"/>
      <c r="N47" s="25"/>
      <c r="O47" s="22"/>
      <c r="P47" s="23" t="n">
        <v>0.7</v>
      </c>
      <c r="Q47" s="22"/>
      <c r="R47" s="11" t="n">
        <f aca="false">G47-P47</f>
        <v>-0.7</v>
      </c>
      <c r="S47" s="21"/>
      <c r="T47" s="25" t="n">
        <v>3</v>
      </c>
    </row>
    <row r="48" customFormat="false" ht="6" hidden="false" customHeight="true" outlineLevel="0" collapsed="false">
      <c r="B48" s="21"/>
      <c r="C48" s="17"/>
      <c r="D48" s="17"/>
      <c r="E48" s="23"/>
      <c r="F48" s="22"/>
      <c r="G48" s="23"/>
      <c r="H48" s="23"/>
      <c r="I48" s="22"/>
      <c r="J48" s="24"/>
      <c r="K48" s="22"/>
      <c r="L48" s="23"/>
      <c r="M48" s="22"/>
      <c r="N48" s="25"/>
      <c r="O48" s="22"/>
      <c r="P48" s="23" t="s">
        <v>30</v>
      </c>
      <c r="Q48" s="22"/>
      <c r="R48" s="23"/>
      <c r="S48" s="21"/>
      <c r="T48" s="25"/>
    </row>
    <row r="49" customFormat="false" ht="12.75" hidden="false" customHeight="true" outlineLevel="0" collapsed="false">
      <c r="B49" s="21" t="s">
        <v>31</v>
      </c>
      <c r="C49" s="17"/>
      <c r="D49" s="17"/>
      <c r="E49" s="23" t="n">
        <v>0</v>
      </c>
      <c r="F49" s="22"/>
      <c r="G49" s="23" t="n">
        <v>0</v>
      </c>
      <c r="H49" s="23"/>
      <c r="I49" s="22"/>
      <c r="J49" s="24"/>
      <c r="K49" s="22"/>
      <c r="L49" s="23"/>
      <c r="M49" s="22"/>
      <c r="N49" s="25"/>
      <c r="O49" s="22"/>
      <c r="P49" s="23" t="n">
        <v>0.8</v>
      </c>
      <c r="Q49" s="22"/>
      <c r="R49" s="11" t="n">
        <f aca="false">G49-P49</f>
        <v>-0.8</v>
      </c>
      <c r="S49" s="21"/>
      <c r="T49" s="25" t="n">
        <v>3</v>
      </c>
    </row>
    <row r="50" customFormat="false" ht="6" hidden="false" customHeight="true" outlineLevel="0" collapsed="false">
      <c r="B50" s="21"/>
      <c r="C50" s="17"/>
      <c r="D50" s="17"/>
      <c r="E50" s="23"/>
      <c r="F50" s="22"/>
      <c r="G50" s="23"/>
      <c r="H50" s="23"/>
      <c r="I50" s="22"/>
      <c r="J50" s="24"/>
      <c r="K50" s="22"/>
      <c r="L50" s="23"/>
      <c r="M50" s="22"/>
      <c r="N50" s="25"/>
      <c r="O50" s="22"/>
      <c r="P50" s="23"/>
      <c r="Q50" s="22"/>
      <c r="R50" s="23"/>
      <c r="S50" s="21"/>
      <c r="T50" s="25"/>
    </row>
    <row r="51" customFormat="false" ht="12.75" hidden="false" customHeight="true" outlineLevel="0" collapsed="false">
      <c r="B51" s="21" t="s">
        <v>32</v>
      </c>
      <c r="C51" s="17"/>
      <c r="D51" s="17"/>
      <c r="E51" s="23" t="n">
        <v>0</v>
      </c>
      <c r="F51" s="22"/>
      <c r="G51" s="23" t="n">
        <v>0</v>
      </c>
      <c r="H51" s="23"/>
      <c r="I51" s="22"/>
      <c r="J51" s="24"/>
      <c r="K51" s="22"/>
      <c r="L51" s="23"/>
      <c r="M51" s="22"/>
      <c r="N51" s="25"/>
      <c r="O51" s="22"/>
      <c r="P51" s="23" t="n">
        <v>1.1</v>
      </c>
      <c r="Q51" s="22"/>
      <c r="R51" s="11" t="n">
        <f aca="false">G51-P51</f>
        <v>-1.1</v>
      </c>
      <c r="S51" s="21"/>
      <c r="T51" s="25" t="n">
        <v>5</v>
      </c>
    </row>
    <row r="52" customFormat="false" ht="6" hidden="false" customHeight="true" outlineLevel="0" collapsed="false">
      <c r="B52" s="21"/>
      <c r="C52" s="17"/>
      <c r="D52" s="17"/>
      <c r="E52" s="23"/>
      <c r="F52" s="22"/>
      <c r="G52" s="23"/>
      <c r="H52" s="23"/>
      <c r="I52" s="22"/>
      <c r="J52" s="24"/>
      <c r="K52" s="22"/>
      <c r="L52" s="23"/>
      <c r="M52" s="22"/>
      <c r="N52" s="25"/>
      <c r="O52" s="22"/>
      <c r="P52" s="23"/>
      <c r="Q52" s="22"/>
      <c r="R52" s="23"/>
      <c r="S52" s="21"/>
      <c r="T52" s="25"/>
    </row>
    <row r="53" customFormat="false" ht="12.75" hidden="false" customHeight="true" outlineLevel="0" collapsed="false">
      <c r="B53" s="21" t="s">
        <v>33</v>
      </c>
      <c r="C53" s="17"/>
      <c r="D53" s="17"/>
      <c r="E53" s="23" t="n">
        <v>0</v>
      </c>
      <c r="F53" s="22"/>
      <c r="G53" s="23" t="n">
        <v>0</v>
      </c>
      <c r="H53" s="23"/>
      <c r="I53" s="22"/>
      <c r="J53" s="24"/>
      <c r="K53" s="22"/>
      <c r="L53" s="23"/>
      <c r="M53" s="22"/>
      <c r="N53" s="25"/>
      <c r="O53" s="22"/>
      <c r="P53" s="23" t="n">
        <v>0.8</v>
      </c>
      <c r="Q53" s="22"/>
      <c r="R53" s="11" t="n">
        <f aca="false">G53-P53</f>
        <v>-0.8</v>
      </c>
      <c r="S53" s="21"/>
      <c r="T53" s="25" t="n">
        <v>3</v>
      </c>
    </row>
    <row r="54" customFormat="false" ht="6" hidden="false" customHeight="true" outlineLevel="0" collapsed="false">
      <c r="B54" s="21"/>
      <c r="C54" s="17"/>
      <c r="D54" s="17"/>
      <c r="E54" s="23"/>
      <c r="F54" s="22"/>
      <c r="G54" s="23"/>
      <c r="H54" s="23"/>
      <c r="I54" s="22"/>
      <c r="J54" s="24"/>
      <c r="K54" s="22"/>
      <c r="L54" s="23"/>
      <c r="M54" s="22"/>
      <c r="N54" s="25"/>
      <c r="O54" s="22"/>
      <c r="P54" s="23"/>
      <c r="Q54" s="22"/>
      <c r="R54" s="23"/>
      <c r="S54" s="21"/>
      <c r="T54" s="25"/>
    </row>
    <row r="55" customFormat="false" ht="12.75" hidden="false" customHeight="true" outlineLevel="0" collapsed="false">
      <c r="B55" s="21" t="s">
        <v>34</v>
      </c>
      <c r="C55" s="17"/>
      <c r="D55" s="17"/>
      <c r="E55" s="23" t="n">
        <v>0</v>
      </c>
      <c r="F55" s="22"/>
      <c r="G55" s="23" t="n">
        <v>0</v>
      </c>
      <c r="H55" s="23"/>
      <c r="I55" s="22"/>
      <c r="J55" s="24"/>
      <c r="K55" s="22"/>
      <c r="L55" s="23"/>
      <c r="M55" s="22"/>
      <c r="N55" s="25"/>
      <c r="O55" s="22"/>
      <c r="P55" s="23" t="n">
        <v>0.8</v>
      </c>
      <c r="Q55" s="22"/>
      <c r="R55" s="11" t="n">
        <f aca="false">G55-P55</f>
        <v>-0.8</v>
      </c>
      <c r="S55" s="21"/>
      <c r="T55" s="25" t="n">
        <v>3</v>
      </c>
    </row>
    <row r="56" customFormat="false" ht="6" hidden="false" customHeight="true" outlineLevel="0" collapsed="false">
      <c r="B56" s="21"/>
      <c r="C56" s="17"/>
      <c r="D56" s="17"/>
      <c r="E56" s="23"/>
      <c r="F56" s="22"/>
      <c r="G56" s="23"/>
      <c r="H56" s="23"/>
      <c r="I56" s="22"/>
      <c r="J56" s="24"/>
      <c r="K56" s="22"/>
      <c r="L56" s="23"/>
      <c r="M56" s="22"/>
      <c r="N56" s="25"/>
      <c r="O56" s="22"/>
      <c r="P56" s="23"/>
      <c r="Q56" s="22"/>
      <c r="R56" s="23"/>
      <c r="S56" s="21"/>
      <c r="T56" s="25"/>
    </row>
    <row r="57" customFormat="false" ht="12.75" hidden="false" customHeight="false" outlineLevel="0" collapsed="false">
      <c r="B57" s="17" t="s">
        <v>35</v>
      </c>
      <c r="C57" s="17"/>
      <c r="D57" s="17"/>
      <c r="E57" s="16" t="n">
        <v>0</v>
      </c>
      <c r="F57" s="18"/>
      <c r="G57" s="16" t="n">
        <v>250</v>
      </c>
      <c r="H57" s="16"/>
      <c r="I57" s="18"/>
      <c r="J57" s="19"/>
      <c r="K57" s="18"/>
      <c r="L57" s="16"/>
      <c r="M57" s="18"/>
      <c r="N57" s="20"/>
      <c r="O57" s="18"/>
      <c r="P57" s="16" t="n">
        <f aca="false">SUM(P35:P56)</f>
        <v>13.5</v>
      </c>
      <c r="Q57" s="18"/>
      <c r="R57" s="16" t="n">
        <f aca="false">G57-P57</f>
        <v>236.5</v>
      </c>
      <c r="S57" s="17"/>
      <c r="T57" s="20" t="n">
        <f aca="false">SUM(T35:T56)</f>
        <v>65</v>
      </c>
    </row>
    <row r="58" customFormat="false" ht="7.5" hidden="false" customHeight="true" outlineLevel="0" collapsed="false">
      <c r="E58" s="11"/>
      <c r="F58" s="12"/>
      <c r="G58" s="11"/>
      <c r="H58" s="11"/>
      <c r="I58" s="12"/>
      <c r="J58" s="15"/>
      <c r="K58" s="12"/>
      <c r="L58" s="11"/>
      <c r="M58" s="12"/>
      <c r="N58" s="14"/>
      <c r="O58" s="12"/>
      <c r="P58" s="11"/>
      <c r="Q58" s="12"/>
      <c r="R58" s="11"/>
      <c r="T58" s="14"/>
    </row>
    <row r="59" customFormat="false" ht="12.75" hidden="false" customHeight="false" outlineLevel="0" collapsed="false">
      <c r="B59" s="0" t="s">
        <v>36</v>
      </c>
      <c r="E59" s="11" t="n">
        <v>0</v>
      </c>
      <c r="F59" s="12"/>
      <c r="G59" s="11" t="n">
        <v>150</v>
      </c>
      <c r="H59" s="11" t="n">
        <v>18.1</v>
      </c>
      <c r="I59" s="12"/>
      <c r="J59" s="13" t="n">
        <v>67</v>
      </c>
      <c r="K59" s="12"/>
      <c r="L59" s="11" t="n">
        <f aca="false">27.3+6.5</f>
        <v>33.8</v>
      </c>
      <c r="M59" s="12"/>
      <c r="N59" s="14" t="n">
        <f aca="false">106-10</f>
        <v>96</v>
      </c>
      <c r="O59" s="12"/>
      <c r="P59" s="11" t="n">
        <v>4.8</v>
      </c>
      <c r="Q59" s="12"/>
      <c r="R59" s="11" t="n">
        <f aca="false">G59-P59</f>
        <v>145.2</v>
      </c>
      <c r="T59" s="14" t="n">
        <v>24</v>
      </c>
    </row>
    <row r="60" customFormat="false" ht="7.5" hidden="false" customHeight="true" outlineLevel="0" collapsed="false">
      <c r="E60" s="11"/>
      <c r="F60" s="12"/>
      <c r="G60" s="11"/>
      <c r="H60" s="11"/>
      <c r="I60" s="12"/>
      <c r="J60" s="13"/>
      <c r="K60" s="12"/>
      <c r="L60" s="11"/>
      <c r="M60" s="12"/>
      <c r="N60" s="14"/>
      <c r="O60" s="12"/>
      <c r="P60" s="11"/>
      <c r="Q60" s="12"/>
      <c r="R60" s="11"/>
      <c r="T60" s="14"/>
    </row>
    <row r="61" customFormat="false" ht="12.75" hidden="false" customHeight="false" outlineLevel="0" collapsed="false">
      <c r="B61" s="0" t="s">
        <v>37</v>
      </c>
      <c r="E61" s="11" t="n">
        <v>0</v>
      </c>
      <c r="F61" s="12"/>
      <c r="G61" s="11" t="n">
        <v>0</v>
      </c>
      <c r="H61" s="11"/>
      <c r="I61" s="12"/>
      <c r="J61" s="15"/>
      <c r="K61" s="12"/>
      <c r="L61" s="11"/>
      <c r="M61" s="12"/>
      <c r="N61" s="14"/>
      <c r="O61" s="12"/>
      <c r="P61" s="11" t="n">
        <v>3.7</v>
      </c>
      <c r="Q61" s="12"/>
      <c r="R61" s="11" t="n">
        <f aca="false">G61-P61</f>
        <v>-3.7</v>
      </c>
      <c r="T61" s="14" t="n">
        <v>12</v>
      </c>
    </row>
    <row r="62" customFormat="false" ht="7.5" hidden="false" customHeight="true" outlineLevel="0" collapsed="false">
      <c r="E62" s="11"/>
      <c r="F62" s="12"/>
      <c r="G62" s="11"/>
      <c r="H62" s="11"/>
      <c r="I62" s="12"/>
      <c r="J62" s="15"/>
      <c r="K62" s="12"/>
      <c r="L62" s="11"/>
      <c r="M62" s="12"/>
      <c r="N62" s="14"/>
      <c r="O62" s="12"/>
      <c r="P62" s="11"/>
      <c r="Q62" s="12"/>
      <c r="R62" s="11"/>
      <c r="T62" s="14"/>
    </row>
    <row r="63" customFormat="false" ht="12.75" hidden="false" customHeight="true" outlineLevel="0" collapsed="false">
      <c r="A63" s="17"/>
      <c r="B63" s="17" t="s">
        <v>38</v>
      </c>
      <c r="C63" s="17"/>
      <c r="D63" s="17"/>
      <c r="E63" s="16" t="n">
        <f aca="false">SUM(E58:E61)</f>
        <v>0</v>
      </c>
      <c r="F63" s="18"/>
      <c r="G63" s="16" t="n">
        <f aca="false">SUM(G58:G61)</f>
        <v>150</v>
      </c>
      <c r="H63" s="16"/>
      <c r="I63" s="18"/>
      <c r="J63" s="26"/>
      <c r="K63" s="18"/>
      <c r="L63" s="16"/>
      <c r="M63" s="18"/>
      <c r="N63" s="20"/>
      <c r="O63" s="18"/>
      <c r="P63" s="16" t="n">
        <f aca="false">SUM(P58:P61)</f>
        <v>8.5</v>
      </c>
      <c r="Q63" s="18"/>
      <c r="R63" s="16" t="n">
        <f aca="false">SUM(R58:R61)</f>
        <v>141.5</v>
      </c>
      <c r="S63" s="17"/>
      <c r="T63" s="20" t="n">
        <f aca="false">SUM(T58:T61)</f>
        <v>36</v>
      </c>
      <c r="U63" s="17"/>
    </row>
    <row r="64" customFormat="false" ht="7.5" hidden="false" customHeight="true" outlineLevel="0" collapsed="false">
      <c r="E64" s="11"/>
      <c r="F64" s="12"/>
      <c r="G64" s="11"/>
      <c r="H64" s="11"/>
      <c r="I64" s="12"/>
      <c r="J64" s="15"/>
      <c r="K64" s="12"/>
      <c r="L64" s="11"/>
      <c r="M64" s="12"/>
      <c r="N64" s="14"/>
      <c r="O64" s="12"/>
      <c r="P64" s="11"/>
      <c r="Q64" s="12"/>
      <c r="R64" s="11"/>
      <c r="T64" s="14"/>
    </row>
    <row r="65" customFormat="false" ht="12.75" hidden="false" customHeight="false" outlineLevel="0" collapsed="false">
      <c r="B65" s="0" t="s">
        <v>39</v>
      </c>
      <c r="E65" s="11" t="n">
        <v>0</v>
      </c>
      <c r="F65" s="12"/>
      <c r="G65" s="11" t="n">
        <v>25</v>
      </c>
      <c r="H65" s="11" t="n">
        <v>8</v>
      </c>
      <c r="I65" s="12"/>
      <c r="J65" s="13" t="n">
        <v>47</v>
      </c>
      <c r="K65" s="12"/>
      <c r="L65" s="11" t="n">
        <v>9</v>
      </c>
      <c r="M65" s="12"/>
      <c r="N65" s="14" t="n">
        <v>49</v>
      </c>
      <c r="O65" s="12"/>
      <c r="P65" s="11" t="n">
        <v>1.8</v>
      </c>
      <c r="Q65" s="12"/>
      <c r="R65" s="11" t="n">
        <f aca="false">G65-P65</f>
        <v>23.2</v>
      </c>
      <c r="T65" s="14" t="n">
        <v>12</v>
      </c>
      <c r="V65" s="27"/>
    </row>
    <row r="66" customFormat="false" ht="12.75" hidden="true" customHeight="false" outlineLevel="0" collapsed="false">
      <c r="B66" s="0" t="s">
        <v>40</v>
      </c>
      <c r="E66" s="11"/>
      <c r="F66" s="12"/>
      <c r="G66" s="11"/>
      <c r="H66" s="11"/>
      <c r="I66" s="12"/>
      <c r="J66" s="15"/>
      <c r="K66" s="12"/>
      <c r="L66" s="11"/>
      <c r="M66" s="12"/>
      <c r="N66" s="14"/>
      <c r="O66" s="12"/>
      <c r="P66" s="11"/>
      <c r="Q66" s="12"/>
      <c r="R66" s="11"/>
      <c r="T66" s="14"/>
      <c r="V66" s="27"/>
    </row>
    <row r="67" customFormat="false" ht="12.75" hidden="true" customHeight="false" outlineLevel="0" collapsed="false">
      <c r="B67" s="0" t="s">
        <v>40</v>
      </c>
      <c r="E67" s="11"/>
      <c r="F67" s="12"/>
      <c r="G67" s="11" t="n">
        <v>0</v>
      </c>
      <c r="H67" s="11" t="n">
        <v>0</v>
      </c>
      <c r="I67" s="12"/>
      <c r="J67" s="13" t="n">
        <v>0</v>
      </c>
      <c r="K67" s="12"/>
      <c r="L67" s="11" t="n">
        <v>0</v>
      </c>
      <c r="M67" s="12"/>
      <c r="N67" s="14" t="n">
        <v>0</v>
      </c>
      <c r="O67" s="12"/>
      <c r="P67" s="11" t="n">
        <v>0</v>
      </c>
      <c r="Q67" s="12"/>
      <c r="R67" s="11" t="n">
        <f aca="false">G67-P67</f>
        <v>0</v>
      </c>
      <c r="T67" s="14" t="n">
        <v>0</v>
      </c>
      <c r="V67" s="27"/>
    </row>
    <row r="68" customFormat="false" ht="7.5" hidden="false" customHeight="true" outlineLevel="0" collapsed="false">
      <c r="E68" s="11"/>
      <c r="F68" s="12"/>
      <c r="G68" s="11"/>
      <c r="H68" s="11"/>
      <c r="I68" s="12"/>
      <c r="J68" s="13"/>
      <c r="K68" s="12"/>
      <c r="L68" s="11"/>
      <c r="M68" s="12"/>
      <c r="N68" s="14"/>
      <c r="O68" s="12"/>
      <c r="P68" s="11"/>
      <c r="Q68" s="12"/>
      <c r="R68" s="11"/>
      <c r="T68" s="14"/>
      <c r="V68" s="27"/>
    </row>
    <row r="69" customFormat="false" ht="12.75" hidden="false" customHeight="false" outlineLevel="0" collapsed="false">
      <c r="B69" s="0" t="s">
        <v>41</v>
      </c>
      <c r="E69" s="11" t="n">
        <v>0</v>
      </c>
      <c r="F69" s="12"/>
      <c r="G69" s="11" t="n">
        <v>25</v>
      </c>
      <c r="H69" s="11"/>
      <c r="I69" s="12"/>
      <c r="J69" s="15"/>
      <c r="K69" s="12"/>
      <c r="L69" s="11"/>
      <c r="M69" s="12"/>
      <c r="N69" s="14"/>
      <c r="O69" s="12"/>
      <c r="P69" s="11" t="n">
        <v>2.7</v>
      </c>
      <c r="Q69" s="12"/>
      <c r="R69" s="11" t="n">
        <f aca="false">G69-P69</f>
        <v>22.3</v>
      </c>
      <c r="T69" s="14" t="n">
        <v>15</v>
      </c>
      <c r="V69" s="27"/>
    </row>
    <row r="70" customFormat="false" ht="12.75" hidden="true" customHeight="false" outlineLevel="0" collapsed="false">
      <c r="B70" s="0" t="s">
        <v>42</v>
      </c>
      <c r="E70" s="11"/>
      <c r="F70" s="12"/>
      <c r="G70" s="11"/>
      <c r="H70" s="11" t="n">
        <v>162</v>
      </c>
      <c r="I70" s="12"/>
      <c r="J70" s="13" t="n">
        <v>151</v>
      </c>
      <c r="K70" s="12"/>
      <c r="L70" s="11" t="n">
        <v>140</v>
      </c>
      <c r="M70" s="12"/>
      <c r="N70" s="13" t="n">
        <f aca="false">25+17</f>
        <v>42</v>
      </c>
      <c r="O70" s="12"/>
      <c r="P70" s="11" t="n">
        <v>0</v>
      </c>
      <c r="Q70" s="12"/>
      <c r="R70" s="11"/>
      <c r="T70" s="15" t="n">
        <v>0</v>
      </c>
      <c r="V70" s="27"/>
    </row>
    <row r="71" customFormat="false" ht="12.75" hidden="true" customHeight="false" outlineLevel="0" collapsed="false">
      <c r="E71" s="11"/>
      <c r="F71" s="12"/>
      <c r="G71" s="11"/>
      <c r="H71" s="11"/>
      <c r="I71" s="12"/>
      <c r="J71" s="15" t="s">
        <v>10</v>
      </c>
      <c r="K71" s="12"/>
      <c r="L71" s="11"/>
      <c r="M71" s="12"/>
      <c r="N71" s="14" t="s">
        <v>10</v>
      </c>
      <c r="O71" s="12"/>
      <c r="P71" s="11"/>
      <c r="Q71" s="12"/>
      <c r="R71" s="11"/>
      <c r="T71" s="14" t="s">
        <v>10</v>
      </c>
      <c r="V71" s="27"/>
    </row>
    <row r="72" customFormat="false" ht="12.75" hidden="true" customHeight="false" outlineLevel="0" collapsed="false">
      <c r="B72" s="0" t="s">
        <v>43</v>
      </c>
      <c r="E72" s="11"/>
      <c r="F72" s="12"/>
      <c r="G72" s="11"/>
      <c r="H72" s="11" t="n">
        <v>31</v>
      </c>
      <c r="I72" s="12"/>
      <c r="J72" s="13" t="n">
        <v>107</v>
      </c>
      <c r="K72" s="12"/>
      <c r="L72" s="11" t="n">
        <v>7</v>
      </c>
      <c r="M72" s="12"/>
      <c r="N72" s="13" t="n">
        <v>36</v>
      </c>
      <c r="O72" s="12"/>
      <c r="P72" s="11" t="n">
        <v>0</v>
      </c>
      <c r="Q72" s="12"/>
      <c r="R72" s="11"/>
      <c r="T72" s="15" t="n">
        <v>0</v>
      </c>
      <c r="V72" s="27"/>
    </row>
    <row r="73" customFormat="false" ht="12.75" hidden="true" customHeight="false" outlineLevel="0" collapsed="false">
      <c r="E73" s="11"/>
      <c r="F73" s="12"/>
      <c r="G73" s="11"/>
      <c r="H73" s="11"/>
      <c r="I73" s="12"/>
      <c r="J73" s="15"/>
      <c r="K73" s="12"/>
      <c r="L73" s="11"/>
      <c r="M73" s="12"/>
      <c r="N73" s="14"/>
      <c r="O73" s="12"/>
      <c r="P73" s="11"/>
      <c r="Q73" s="12"/>
      <c r="R73" s="11"/>
      <c r="T73" s="14"/>
      <c r="V73" s="27"/>
    </row>
    <row r="74" customFormat="false" ht="7.5" hidden="false" customHeight="true" outlineLevel="0" collapsed="false">
      <c r="E74" s="11"/>
      <c r="F74" s="12"/>
      <c r="G74" s="11"/>
      <c r="H74" s="11"/>
      <c r="I74" s="12"/>
      <c r="J74" s="15"/>
      <c r="K74" s="12"/>
      <c r="L74" s="11"/>
      <c r="M74" s="12"/>
      <c r="N74" s="14"/>
      <c r="O74" s="12"/>
      <c r="P74" s="11"/>
      <c r="Q74" s="12"/>
      <c r="R74" s="11"/>
      <c r="T74" s="14"/>
      <c r="V74" s="27"/>
    </row>
    <row r="75" customFormat="false" ht="12.75" hidden="false" customHeight="false" outlineLevel="0" collapsed="false">
      <c r="A75" s="17"/>
      <c r="B75" s="17" t="s">
        <v>44</v>
      </c>
      <c r="C75" s="17"/>
      <c r="D75" s="17"/>
      <c r="E75" s="16" t="n">
        <f aca="false">SUM(E65:E69)</f>
        <v>0</v>
      </c>
      <c r="F75" s="18"/>
      <c r="G75" s="16" t="n">
        <f aca="false">SUM(G65:G69)</f>
        <v>50</v>
      </c>
      <c r="H75" s="16"/>
      <c r="I75" s="18"/>
      <c r="J75" s="26"/>
      <c r="K75" s="18"/>
      <c r="L75" s="16"/>
      <c r="M75" s="18"/>
      <c r="N75" s="20"/>
      <c r="O75" s="18"/>
      <c r="P75" s="16" t="n">
        <f aca="false">SUM(P65:P69)</f>
        <v>4.5</v>
      </c>
      <c r="Q75" s="18"/>
      <c r="R75" s="16" t="n">
        <f aca="false">SUM(R65:R69)</f>
        <v>45.5</v>
      </c>
      <c r="S75" s="17"/>
      <c r="T75" s="20" t="n">
        <f aca="false">SUM(T65:T69)</f>
        <v>27</v>
      </c>
      <c r="U75" s="17"/>
      <c r="V75" s="28"/>
    </row>
    <row r="76" customFormat="false" ht="7.5" hidden="false" customHeight="true" outlineLevel="0" collapsed="false">
      <c r="E76" s="11"/>
      <c r="F76" s="12"/>
      <c r="G76" s="11"/>
      <c r="H76" s="11"/>
      <c r="I76" s="12"/>
      <c r="J76" s="15"/>
      <c r="K76" s="12"/>
      <c r="L76" s="11"/>
      <c r="M76" s="12"/>
      <c r="N76" s="14"/>
      <c r="O76" s="12"/>
      <c r="P76" s="11"/>
      <c r="Q76" s="12"/>
      <c r="R76" s="11"/>
      <c r="T76" s="14"/>
      <c r="V76" s="27"/>
    </row>
    <row r="77" customFormat="false" ht="12.75" hidden="false" customHeight="false" outlineLevel="0" collapsed="false">
      <c r="A77" s="17"/>
      <c r="B77" s="17" t="s">
        <v>45</v>
      </c>
      <c r="C77" s="17"/>
      <c r="D77" s="17"/>
      <c r="E77" s="16" t="n">
        <v>0</v>
      </c>
      <c r="F77" s="17"/>
      <c r="G77" s="16" t="n">
        <v>0</v>
      </c>
      <c r="H77" s="20" t="n">
        <v>34.3</v>
      </c>
      <c r="I77" s="28"/>
      <c r="J77" s="19" t="n">
        <v>65</v>
      </c>
      <c r="K77" s="28"/>
      <c r="L77" s="20" t="n">
        <v>257.1</v>
      </c>
      <c r="M77" s="17"/>
      <c r="N77" s="20" t="n">
        <v>5</v>
      </c>
      <c r="O77" s="17"/>
      <c r="P77" s="16" t="n">
        <v>1.9</v>
      </c>
      <c r="Q77" s="17"/>
      <c r="R77" s="16" t="n">
        <f aca="false">G77-P77</f>
        <v>-1.9</v>
      </c>
      <c r="S77" s="17"/>
      <c r="T77" s="20" t="n">
        <v>3</v>
      </c>
      <c r="U77" s="17"/>
    </row>
    <row r="78" customFormat="false" ht="12.75" hidden="false" customHeight="false" outlineLevel="0" collapsed="false">
      <c r="E78" s="29"/>
      <c r="G78" s="29"/>
      <c r="H78" s="14"/>
      <c r="I78" s="27"/>
      <c r="J78" s="29"/>
      <c r="K78" s="27"/>
      <c r="L78" s="14"/>
      <c r="N78" s="29"/>
      <c r="P78" s="30"/>
      <c r="R78" s="29"/>
      <c r="T78" s="29"/>
    </row>
    <row r="79" customFormat="false" ht="12.75" hidden="false" customHeight="false" outlineLevel="0" collapsed="false">
      <c r="D79" s="17" t="s">
        <v>46</v>
      </c>
      <c r="E79" s="31" t="n">
        <v>60</v>
      </c>
      <c r="G79" s="32" t="n">
        <f aca="false">SUM(G9:G77)-G63-G75</f>
        <v>875</v>
      </c>
      <c r="H79" s="32" t="e">
        <f aca="false">+H9+#REF!+H59+H65+H67+H77+H70+H72</f>
        <v>#REF!</v>
      </c>
      <c r="I79" s="33"/>
      <c r="J79" s="34" t="e">
        <f aca="false">+J9+#REF!+J59+J65+J67+J70+J72+J77</f>
        <v>#REF!</v>
      </c>
      <c r="K79" s="33"/>
      <c r="L79" s="32" t="e">
        <f aca="false">+L9+#REF!+L59+L65+L67+L77+L70+L72</f>
        <v>#REF!</v>
      </c>
      <c r="N79" s="34" t="e">
        <f aca="false">+N9+#REF!+N59+N65+N67+N77+N70+N72</f>
        <v>#REF!</v>
      </c>
      <c r="P79" s="32" t="n">
        <f aca="false">+P33+P57+P63+P75+P77</f>
        <v>49.7</v>
      </c>
      <c r="R79" s="32" t="n">
        <f aca="false">+R33+R57+R63+R75+R77</f>
        <v>825.3</v>
      </c>
      <c r="T79" s="34" t="n">
        <f aca="false">T33+T57+T63+T75+T77</f>
        <v>206</v>
      </c>
    </row>
    <row r="80" customFormat="false" ht="12.75" hidden="false" customHeight="false" outlineLevel="0" collapsed="false">
      <c r="H80" s="14"/>
      <c r="I80" s="27"/>
      <c r="J80" s="35"/>
      <c r="L80" s="14"/>
      <c r="N80" s="35"/>
      <c r="P80" s="11"/>
      <c r="R80" s="35"/>
      <c r="T80" s="35"/>
    </row>
    <row r="81" customFormat="false" ht="12.75" hidden="true" customHeight="false" outlineLevel="0" collapsed="false">
      <c r="B81" s="0" t="s">
        <v>47</v>
      </c>
      <c r="H81" s="14"/>
      <c r="I81" s="27"/>
      <c r="J81" s="14"/>
      <c r="L81" s="14"/>
      <c r="N81" s="14"/>
      <c r="P81" s="11" t="n">
        <v>0</v>
      </c>
      <c r="R81" s="36" t="n">
        <f aca="false">G81-P81</f>
        <v>0</v>
      </c>
      <c r="T81" s="14" t="n">
        <v>0</v>
      </c>
    </row>
    <row r="82" customFormat="false" ht="12.75" hidden="true" customHeight="false" outlineLevel="0" collapsed="false">
      <c r="H82" s="14"/>
      <c r="I82" s="27"/>
      <c r="J82" s="14"/>
      <c r="L82" s="14"/>
      <c r="N82" s="14"/>
      <c r="P82" s="11"/>
      <c r="R82" s="14"/>
      <c r="T82" s="14"/>
    </row>
    <row r="83" customFormat="false" ht="12.75" hidden="false" customHeight="false" outlineLevel="0" collapsed="false">
      <c r="B83" s="0" t="s">
        <v>48</v>
      </c>
      <c r="H83" s="14"/>
      <c r="I83" s="27"/>
      <c r="J83" s="14"/>
      <c r="L83" s="14"/>
      <c r="N83" s="14"/>
      <c r="P83" s="11" t="n">
        <f aca="false">0.4+1+0.2+0.5</f>
        <v>2.1</v>
      </c>
      <c r="R83" s="36" t="n">
        <f aca="false">G83-P83</f>
        <v>-2.1</v>
      </c>
      <c r="T83" s="14" t="n">
        <f aca="false">12+2+6+3</f>
        <v>23</v>
      </c>
    </row>
    <row r="84" customFormat="false" ht="12.75" hidden="false" customHeight="false" outlineLevel="0" collapsed="false">
      <c r="H84" s="14"/>
      <c r="I84" s="27"/>
      <c r="J84" s="14"/>
      <c r="L84" s="14"/>
      <c r="N84" s="14"/>
      <c r="P84" s="11"/>
      <c r="R84" s="36"/>
      <c r="T84" s="14"/>
    </row>
    <row r="85" customFormat="false" ht="12.75" hidden="false" customHeight="false" outlineLevel="0" collapsed="false">
      <c r="B85" s="0" t="s">
        <v>49</v>
      </c>
      <c r="H85" s="14" t="n">
        <v>11.4</v>
      </c>
      <c r="I85" s="27"/>
      <c r="J85" s="15" t="s">
        <v>10</v>
      </c>
      <c r="L85" s="14" t="n">
        <v>9.5</v>
      </c>
      <c r="M85" s="0" t="s">
        <v>10</v>
      </c>
      <c r="N85" s="13"/>
      <c r="P85" s="11" t="n">
        <v>7</v>
      </c>
      <c r="R85" s="36" t="n">
        <f aca="false">G85-P85</f>
        <v>-7</v>
      </c>
      <c r="T85" s="14" t="n">
        <v>10</v>
      </c>
    </row>
    <row r="86" customFormat="false" ht="12.75" hidden="false" customHeight="false" outlineLevel="0" collapsed="false">
      <c r="H86" s="14"/>
      <c r="I86" s="27"/>
      <c r="J86" s="14"/>
      <c r="L86" s="14"/>
      <c r="N86" s="14"/>
      <c r="P86" s="11"/>
      <c r="R86" s="36"/>
      <c r="T86" s="14"/>
    </row>
    <row r="87" customFormat="false" ht="12.75" hidden="false" customHeight="false" outlineLevel="0" collapsed="false">
      <c r="B87" s="0" t="s">
        <v>50</v>
      </c>
      <c r="H87" s="14"/>
      <c r="I87" s="27"/>
      <c r="J87" s="14"/>
      <c r="L87" s="14"/>
      <c r="N87" s="14"/>
      <c r="P87" s="11" t="n">
        <v>7.4</v>
      </c>
      <c r="R87" s="36" t="n">
        <f aca="false">G87-P87</f>
        <v>-7.4</v>
      </c>
      <c r="T87" s="14" t="n">
        <v>33</v>
      </c>
    </row>
    <row r="88" customFormat="false" ht="12.75" hidden="false" customHeight="false" outlineLevel="0" collapsed="false">
      <c r="H88" s="14"/>
      <c r="I88" s="27"/>
      <c r="J88" s="14"/>
      <c r="L88" s="14"/>
      <c r="N88" s="14"/>
      <c r="P88" s="11"/>
      <c r="R88" s="36"/>
      <c r="T88" s="14"/>
    </row>
    <row r="89" customFormat="false" ht="12.75" hidden="false" customHeight="false" outlineLevel="0" collapsed="false">
      <c r="B89" s="0" t="s">
        <v>51</v>
      </c>
      <c r="H89" s="14"/>
      <c r="I89" s="27"/>
      <c r="J89" s="14"/>
      <c r="L89" s="14"/>
      <c r="N89" s="14"/>
      <c r="P89" s="11" t="n">
        <v>1</v>
      </c>
      <c r="R89" s="36" t="n">
        <f aca="false">G89-P89</f>
        <v>-1</v>
      </c>
      <c r="T89" s="14" t="n">
        <v>5</v>
      </c>
    </row>
    <row r="90" customFormat="false" ht="12.75" hidden="false" customHeight="false" outlineLevel="0" collapsed="false">
      <c r="H90" s="14"/>
      <c r="I90" s="27"/>
      <c r="J90" s="14"/>
      <c r="L90" s="14"/>
      <c r="N90" s="14"/>
      <c r="P90" s="11"/>
      <c r="R90" s="36"/>
      <c r="T90" s="14"/>
    </row>
    <row r="91" customFormat="false" ht="12.75" hidden="false" customHeight="false" outlineLevel="0" collapsed="false">
      <c r="B91" s="0" t="s">
        <v>52</v>
      </c>
      <c r="H91" s="14"/>
      <c r="I91" s="27"/>
      <c r="J91" s="14"/>
      <c r="L91" s="14"/>
      <c r="N91" s="14"/>
      <c r="P91" s="11" t="n">
        <v>1.3</v>
      </c>
      <c r="R91" s="36" t="n">
        <f aca="false">G91-P91</f>
        <v>-1.3</v>
      </c>
      <c r="T91" s="14" t="n">
        <v>5</v>
      </c>
    </row>
    <row r="92" customFormat="false" ht="12.75" hidden="false" customHeight="false" outlineLevel="0" collapsed="false">
      <c r="H92" s="14"/>
      <c r="I92" s="27"/>
      <c r="J92" s="14"/>
      <c r="L92" s="14"/>
      <c r="N92" s="14"/>
      <c r="P92" s="11"/>
      <c r="R92" s="36"/>
      <c r="T92" s="14"/>
    </row>
    <row r="93" customFormat="false" ht="12.75" hidden="false" customHeight="false" outlineLevel="0" collapsed="false">
      <c r="B93" s="0" t="s">
        <v>53</v>
      </c>
      <c r="H93" s="14"/>
      <c r="I93" s="27"/>
      <c r="J93" s="15" t="s">
        <v>10</v>
      </c>
      <c r="L93" s="14"/>
      <c r="M93" s="0" t="s">
        <v>10</v>
      </c>
      <c r="N93" s="14"/>
      <c r="P93" s="11"/>
      <c r="R93" s="36"/>
      <c r="T93" s="14"/>
    </row>
    <row r="94" customFormat="false" ht="12.75" hidden="false" customHeight="true" outlineLevel="0" collapsed="false">
      <c r="C94" s="0" t="s">
        <v>54</v>
      </c>
      <c r="H94" s="14" t="n">
        <v>10.2</v>
      </c>
      <c r="I94" s="27"/>
      <c r="J94" s="13" t="s">
        <v>10</v>
      </c>
      <c r="L94" s="37" t="n">
        <v>7.6</v>
      </c>
      <c r="N94" s="11"/>
      <c r="P94" s="11" t="n">
        <v>4.8</v>
      </c>
      <c r="R94" s="36" t="n">
        <f aca="false">G94-P94</f>
        <v>-4.8</v>
      </c>
      <c r="T94" s="14" t="n">
        <v>39</v>
      </c>
      <c r="U94" s="0" t="n">
        <v>5</v>
      </c>
      <c r="V94" s="0" t="n">
        <v>0.5</v>
      </c>
    </row>
    <row r="95" customFormat="false" ht="12.75" hidden="false" customHeight="false" outlineLevel="0" collapsed="false">
      <c r="C95" s="0" t="s">
        <v>55</v>
      </c>
      <c r="H95" s="14"/>
      <c r="I95" s="27"/>
      <c r="J95" s="13"/>
      <c r="L95" s="37"/>
      <c r="N95" s="11"/>
      <c r="P95" s="11" t="n">
        <v>0.6</v>
      </c>
      <c r="R95" s="36" t="n">
        <f aca="false">G95-P95</f>
        <v>-0.6</v>
      </c>
      <c r="T95" s="14" t="n">
        <v>7</v>
      </c>
    </row>
    <row r="96" customFormat="false" ht="12.75" hidden="false" customHeight="false" outlineLevel="0" collapsed="false">
      <c r="C96" s="0" t="s">
        <v>56</v>
      </c>
      <c r="H96" s="14" t="n">
        <v>2.7</v>
      </c>
      <c r="I96" s="27"/>
      <c r="J96" s="15" t="s">
        <v>10</v>
      </c>
      <c r="L96" s="14" t="n">
        <v>2.1</v>
      </c>
      <c r="M96" s="38"/>
      <c r="N96" s="11"/>
      <c r="O96" s="38"/>
      <c r="P96" s="11" t="n">
        <v>3.8</v>
      </c>
      <c r="R96" s="36" t="n">
        <f aca="false">G96-P96</f>
        <v>-3.8</v>
      </c>
      <c r="T96" s="14" t="n">
        <v>32</v>
      </c>
      <c r="U96" s="0" t="n">
        <v>4</v>
      </c>
      <c r="V96" s="0" t="n">
        <v>0.5</v>
      </c>
    </row>
    <row r="97" customFormat="false" ht="12.75" hidden="false" customHeight="false" outlineLevel="0" collapsed="false">
      <c r="C97" s="0" t="s">
        <v>57</v>
      </c>
      <c r="H97" s="14"/>
      <c r="I97" s="27"/>
      <c r="J97" s="15"/>
      <c r="L97" s="14"/>
      <c r="M97" s="27"/>
      <c r="N97" s="11"/>
      <c r="O97" s="27"/>
      <c r="P97" s="11" t="n">
        <v>2.1</v>
      </c>
      <c r="R97" s="36" t="n">
        <f aca="false">G97-P97</f>
        <v>-2.1</v>
      </c>
      <c r="T97" s="14" t="n">
        <v>20</v>
      </c>
    </row>
    <row r="98" customFormat="false" ht="12.75" hidden="false" customHeight="false" outlineLevel="0" collapsed="false">
      <c r="C98" s="0" t="s">
        <v>58</v>
      </c>
      <c r="H98" s="14" t="n">
        <v>8.6</v>
      </c>
      <c r="I98" s="27"/>
      <c r="J98" s="13" t="s">
        <v>10</v>
      </c>
      <c r="L98" s="37" t="n">
        <v>6</v>
      </c>
      <c r="N98" s="11"/>
      <c r="P98" s="11" t="n">
        <v>1.5</v>
      </c>
      <c r="R98" s="36" t="n">
        <f aca="false">G98-P98</f>
        <v>-1.5</v>
      </c>
      <c r="T98" s="14" t="n">
        <v>11</v>
      </c>
      <c r="U98" s="0" t="n">
        <v>4</v>
      </c>
      <c r="V98" s="0" t="n">
        <v>0.5</v>
      </c>
    </row>
    <row r="99" customFormat="false" ht="12.75" hidden="false" customHeight="false" outlineLevel="0" collapsed="false">
      <c r="C99" s="0" t="s">
        <v>59</v>
      </c>
      <c r="H99" s="14" t="n">
        <v>5.9</v>
      </c>
      <c r="I99" s="27"/>
      <c r="J99" s="13" t="s">
        <v>10</v>
      </c>
      <c r="L99" s="37" t="n">
        <v>4</v>
      </c>
      <c r="N99" s="11"/>
      <c r="P99" s="11" t="n">
        <v>1.2</v>
      </c>
      <c r="R99" s="36" t="n">
        <f aca="false">G99-P99</f>
        <v>-1.2</v>
      </c>
      <c r="T99" s="14" t="n">
        <v>13</v>
      </c>
      <c r="U99" s="0" t="n">
        <v>4</v>
      </c>
      <c r="V99" s="0" t="n">
        <v>0.5</v>
      </c>
    </row>
    <row r="100" customFormat="false" ht="12.75" hidden="false" customHeight="false" outlineLevel="0" collapsed="false">
      <c r="C100" s="0" t="s">
        <v>60</v>
      </c>
      <c r="H100" s="14" t="n">
        <v>2.7</v>
      </c>
      <c r="I100" s="27"/>
      <c r="J100" s="15" t="s">
        <v>10</v>
      </c>
      <c r="L100" s="14" t="n">
        <v>2.1</v>
      </c>
      <c r="N100" s="11"/>
      <c r="P100" s="11" t="n">
        <v>1.5</v>
      </c>
      <c r="R100" s="36" t="n">
        <f aca="false">G100-P100</f>
        <v>-1.5</v>
      </c>
      <c r="T100" s="14" t="n">
        <v>14</v>
      </c>
      <c r="U100" s="0" t="n">
        <v>4</v>
      </c>
      <c r="V100" s="0" t="n">
        <v>0.5</v>
      </c>
    </row>
    <row r="101" customFormat="false" ht="12.75" hidden="false" customHeight="false" outlineLevel="0" collapsed="false">
      <c r="C101" s="0" t="s">
        <v>61</v>
      </c>
      <c r="H101" s="14"/>
      <c r="I101" s="27"/>
      <c r="J101" s="13"/>
      <c r="L101" s="37"/>
      <c r="N101" s="11"/>
      <c r="P101" s="11" t="n">
        <v>0.9</v>
      </c>
      <c r="R101" s="36" t="n">
        <f aca="false">G101-P101</f>
        <v>-0.9</v>
      </c>
      <c r="T101" s="14" t="n">
        <v>8</v>
      </c>
    </row>
    <row r="102" customFormat="false" ht="12.75" hidden="false" customHeight="false" outlineLevel="0" collapsed="false">
      <c r="C102" s="0" t="s">
        <v>62</v>
      </c>
      <c r="H102" s="14" t="n">
        <v>3.1</v>
      </c>
      <c r="I102" s="27"/>
      <c r="J102" s="15" t="s">
        <v>10</v>
      </c>
      <c r="L102" s="14" t="n">
        <v>2.7</v>
      </c>
      <c r="N102" s="11"/>
      <c r="P102" s="11" t="n">
        <v>4</v>
      </c>
      <c r="R102" s="36" t="n">
        <f aca="false">G102-P102</f>
        <v>-4</v>
      </c>
      <c r="T102" s="14" t="n">
        <f aca="false">28+8</f>
        <v>36</v>
      </c>
      <c r="U102" s="0" t="n">
        <v>4</v>
      </c>
      <c r="V102" s="0" t="n">
        <v>0.5</v>
      </c>
    </row>
    <row r="103" customFormat="false" ht="12.75" hidden="false" customHeight="false" outlineLevel="0" collapsed="false">
      <c r="C103" s="0" t="s">
        <v>63</v>
      </c>
      <c r="H103" s="14"/>
      <c r="I103" s="27"/>
      <c r="J103" s="15"/>
      <c r="L103" s="14"/>
      <c r="N103" s="11"/>
      <c r="P103" s="30" t="n">
        <v>0.7</v>
      </c>
      <c r="R103" s="31" t="n">
        <f aca="false">G103-P103</f>
        <v>-0.7</v>
      </c>
      <c r="T103" s="29" t="n">
        <v>4</v>
      </c>
      <c r="U103" s="27"/>
    </row>
    <row r="104" customFormat="false" ht="12.75" hidden="true" customHeight="false" outlineLevel="0" collapsed="false">
      <c r="C104" s="0" t="s">
        <v>60</v>
      </c>
      <c r="H104" s="14" t="n">
        <v>2.7</v>
      </c>
      <c r="I104" s="27"/>
      <c r="J104" s="15" t="s">
        <v>10</v>
      </c>
      <c r="L104" s="14" t="n">
        <v>2.1</v>
      </c>
      <c r="N104" s="11"/>
      <c r="P104" s="11" t="n">
        <v>0</v>
      </c>
      <c r="R104" s="36" t="n">
        <f aca="false">G104-P104</f>
        <v>0</v>
      </c>
      <c r="T104" s="14" t="n">
        <v>0</v>
      </c>
      <c r="U104" s="0" t="n">
        <v>4</v>
      </c>
      <c r="V104" s="0" t="n">
        <v>0.5</v>
      </c>
    </row>
    <row r="105" customFormat="false" ht="12.75" hidden="true" customHeight="false" outlineLevel="0" collapsed="false">
      <c r="C105" s="0" t="s">
        <v>61</v>
      </c>
      <c r="H105" s="14" t="n">
        <v>2.7</v>
      </c>
      <c r="I105" s="27"/>
      <c r="J105" s="15" t="s">
        <v>10</v>
      </c>
      <c r="L105" s="14" t="n">
        <v>2.5</v>
      </c>
      <c r="N105" s="11"/>
      <c r="P105" s="11" t="n">
        <v>0</v>
      </c>
      <c r="R105" s="36" t="n">
        <f aca="false">G105-P105</f>
        <v>0</v>
      </c>
      <c r="T105" s="14" t="n">
        <v>0</v>
      </c>
      <c r="U105" s="0" t="n">
        <v>5</v>
      </c>
      <c r="V105" s="0" t="n">
        <v>0.5</v>
      </c>
    </row>
    <row r="106" customFormat="false" ht="11.25" hidden="true" customHeight="true" outlineLevel="0" collapsed="false">
      <c r="C106" s="0" t="s">
        <v>64</v>
      </c>
      <c r="H106" s="29" t="n">
        <v>3.3</v>
      </c>
      <c r="I106" s="27"/>
      <c r="J106" s="39" t="s">
        <v>10</v>
      </c>
      <c r="L106" s="29" t="n">
        <v>2.9</v>
      </c>
      <c r="N106" s="30"/>
      <c r="P106" s="11" t="n">
        <v>0</v>
      </c>
      <c r="R106" s="36" t="n">
        <f aca="false">G106-P106</f>
        <v>0</v>
      </c>
      <c r="T106" s="14" t="n">
        <v>0</v>
      </c>
      <c r="U106" s="40" t="n">
        <v>6</v>
      </c>
      <c r="V106" s="0" t="n">
        <v>0.05</v>
      </c>
    </row>
    <row r="107" customFormat="false" ht="12.75" hidden="false" customHeight="false" outlineLevel="0" collapsed="false">
      <c r="H107" s="41" t="n">
        <f aca="false">SUM(H92:H104)</f>
        <v>35.9</v>
      </c>
      <c r="I107" s="42"/>
      <c r="J107" s="43" t="n">
        <v>452</v>
      </c>
      <c r="L107" s="41" t="n">
        <f aca="false">SUM(L92:L104)</f>
        <v>26.6</v>
      </c>
      <c r="N107" s="43"/>
      <c r="P107" s="41" t="n">
        <f aca="false">SUM(P92:P106)</f>
        <v>21.1</v>
      </c>
      <c r="R107" s="36" t="n">
        <f aca="false">SUM(R92:R106)</f>
        <v>-21.1</v>
      </c>
      <c r="T107" s="43" t="n">
        <f aca="false">SUM(T92:T106)</f>
        <v>184</v>
      </c>
      <c r="U107" s="0" t="n">
        <v>178</v>
      </c>
      <c r="V107" s="0" t="n">
        <f aca="false">SUM(V92:V104)</f>
        <v>3.5</v>
      </c>
      <c r="W107" s="0" t="s">
        <v>65</v>
      </c>
    </row>
    <row r="108" customFormat="false" ht="12.75" hidden="false" customHeight="false" outlineLevel="0" collapsed="false">
      <c r="H108" s="14"/>
      <c r="I108" s="27"/>
      <c r="J108" s="14"/>
      <c r="L108" s="14"/>
      <c r="N108" s="14"/>
      <c r="P108" s="11"/>
      <c r="R108" s="14"/>
      <c r="T108" s="14"/>
    </row>
    <row r="109" customFormat="false" ht="12.75" hidden="false" customHeight="false" outlineLevel="0" collapsed="false">
      <c r="B109" s="0" t="s">
        <v>66</v>
      </c>
      <c r="H109" s="14" t="n">
        <v>27.5</v>
      </c>
      <c r="I109" s="27"/>
      <c r="J109" s="13" t="n">
        <v>175</v>
      </c>
      <c r="L109" s="37" t="n">
        <v>29</v>
      </c>
      <c r="M109" s="0" t="s">
        <v>10</v>
      </c>
      <c r="N109" s="43"/>
      <c r="P109" s="11" t="n">
        <v>34.7</v>
      </c>
      <c r="R109" s="36" t="n">
        <f aca="false">G109-P109</f>
        <v>-34.7</v>
      </c>
      <c r="T109" s="14" t="n">
        <v>141</v>
      </c>
      <c r="U109" s="0" t="s">
        <v>10</v>
      </c>
      <c r="V109" s="0" t="s">
        <v>10</v>
      </c>
    </row>
    <row r="110" customFormat="false" ht="12.75" hidden="false" customHeight="false" outlineLevel="0" collapsed="false">
      <c r="B110" s="0" t="s">
        <v>67</v>
      </c>
      <c r="H110" s="14" t="n">
        <v>48.9</v>
      </c>
      <c r="I110" s="27"/>
      <c r="J110" s="15" t="s">
        <v>10</v>
      </c>
      <c r="L110" s="37" t="n">
        <v>55</v>
      </c>
      <c r="N110" s="43"/>
      <c r="P110" s="11" t="n">
        <f aca="false">27.5+16.2</f>
        <v>43.7</v>
      </c>
      <c r="R110" s="36" t="n">
        <f aca="false">G110-P110</f>
        <v>-43.7</v>
      </c>
      <c r="T110" s="14" t="n">
        <v>59</v>
      </c>
    </row>
    <row r="111" customFormat="false" ht="12.75" hidden="false" customHeight="false" outlineLevel="0" collapsed="false">
      <c r="P111" s="14"/>
      <c r="R111" s="14"/>
      <c r="T111" s="14"/>
    </row>
    <row r="112" customFormat="false" ht="12.75" hidden="false" customHeight="false" outlineLevel="0" collapsed="false">
      <c r="B112" s="0" t="s">
        <v>68</v>
      </c>
      <c r="H112" s="14" t="n">
        <v>0.8</v>
      </c>
      <c r="I112" s="27"/>
      <c r="J112" s="15" t="s">
        <v>10</v>
      </c>
      <c r="L112" s="14" t="n">
        <v>5.2</v>
      </c>
      <c r="N112" s="43"/>
      <c r="P112" s="11" t="n">
        <v>8.3</v>
      </c>
      <c r="R112" s="36" t="n">
        <f aca="false">G112-P112</f>
        <v>-8.3</v>
      </c>
      <c r="T112" s="14" t="n">
        <v>39</v>
      </c>
    </row>
    <row r="113" customFormat="false" ht="12.75" hidden="false" customHeight="false" outlineLevel="0" collapsed="false">
      <c r="P113" s="14"/>
      <c r="R113" s="14"/>
      <c r="T113" s="14"/>
    </row>
    <row r="114" customFormat="false" ht="12.75" hidden="false" customHeight="false" outlineLevel="0" collapsed="false">
      <c r="B114" s="0" t="s">
        <v>69</v>
      </c>
      <c r="H114" s="14" t="n">
        <v>2.8</v>
      </c>
      <c r="I114" s="27"/>
      <c r="J114" s="15" t="n">
        <v>0</v>
      </c>
      <c r="L114" s="14" t="n">
        <v>3.5</v>
      </c>
      <c r="M114" s="0" t="s">
        <v>10</v>
      </c>
      <c r="N114" s="43" t="n">
        <v>96</v>
      </c>
      <c r="P114" s="11" t="n">
        <v>3.7</v>
      </c>
      <c r="R114" s="36" t="n">
        <f aca="false">G114-P114</f>
        <v>-3.7</v>
      </c>
      <c r="T114" s="14" t="n">
        <v>33</v>
      </c>
    </row>
    <row r="115" customFormat="false" ht="12.75" hidden="false" customHeight="false" outlineLevel="0" collapsed="false">
      <c r="P115" s="14"/>
      <c r="R115" s="14"/>
      <c r="T115" s="14"/>
    </row>
    <row r="116" customFormat="false" ht="12.75" hidden="false" customHeight="false" outlineLevel="0" collapsed="false">
      <c r="B116" s="0" t="s">
        <v>70</v>
      </c>
      <c r="H116" s="14" t="n">
        <v>11.4</v>
      </c>
      <c r="I116" s="27"/>
      <c r="J116" s="15" t="s">
        <v>10</v>
      </c>
      <c r="L116" s="37" t="n">
        <v>7.3</v>
      </c>
      <c r="N116" s="15"/>
      <c r="P116" s="11" t="n">
        <v>2.9</v>
      </c>
      <c r="R116" s="36" t="n">
        <f aca="false">G116-P116</f>
        <v>-2.9</v>
      </c>
      <c r="T116" s="14" t="n">
        <v>15</v>
      </c>
    </row>
    <row r="117" customFormat="false" ht="12.75" hidden="false" customHeight="false" outlineLevel="0" collapsed="false">
      <c r="H117" s="14"/>
      <c r="I117" s="27"/>
      <c r="J117" s="14"/>
      <c r="L117" s="14"/>
      <c r="N117" s="14"/>
      <c r="P117" s="11"/>
      <c r="R117" s="14"/>
      <c r="T117" s="14"/>
    </row>
    <row r="118" customFormat="false" ht="12.75" hidden="false" customHeight="false" outlineLevel="0" collapsed="false">
      <c r="B118" s="0" t="s">
        <v>71</v>
      </c>
      <c r="H118" s="14" t="n">
        <v>1.2</v>
      </c>
      <c r="I118" s="27"/>
      <c r="J118" s="15" t="n">
        <v>0</v>
      </c>
      <c r="L118" s="14" t="n">
        <v>0.7</v>
      </c>
      <c r="M118" s="0" t="s">
        <v>10</v>
      </c>
      <c r="N118" s="14" t="n">
        <v>26</v>
      </c>
      <c r="P118" s="11" t="n">
        <v>2.4</v>
      </c>
      <c r="R118" s="36" t="n">
        <f aca="false">G118-P118</f>
        <v>-2.4</v>
      </c>
      <c r="T118" s="14" t="n">
        <v>8</v>
      </c>
    </row>
    <row r="119" customFormat="false" ht="12.75" hidden="false" customHeight="false" outlineLevel="0" collapsed="false">
      <c r="H119" s="14"/>
      <c r="I119" s="27"/>
      <c r="J119" s="15"/>
      <c r="L119" s="14"/>
      <c r="N119" s="14"/>
      <c r="P119" s="11"/>
      <c r="R119" s="36"/>
      <c r="T119" s="14"/>
    </row>
    <row r="120" customFormat="false" ht="12.75" hidden="false" customHeight="false" outlineLevel="0" collapsed="false">
      <c r="B120" s="0" t="s">
        <v>72</v>
      </c>
      <c r="H120" s="14"/>
      <c r="I120" s="27"/>
      <c r="J120" s="15"/>
      <c r="L120" s="14"/>
      <c r="N120" s="14"/>
      <c r="P120" s="11" t="n">
        <v>0.7</v>
      </c>
      <c r="R120" s="36" t="n">
        <f aca="false">G120-P120</f>
        <v>-0.7</v>
      </c>
      <c r="T120" s="14" t="n">
        <v>3</v>
      </c>
    </row>
    <row r="121" customFormat="false" ht="12.75" hidden="false" customHeight="false" outlineLevel="0" collapsed="false">
      <c r="H121" s="14"/>
      <c r="I121" s="27"/>
      <c r="J121" s="14"/>
      <c r="L121" s="14"/>
      <c r="N121" s="14"/>
      <c r="P121" s="11"/>
      <c r="R121" s="36"/>
      <c r="T121" s="14"/>
    </row>
    <row r="122" customFormat="false" ht="12.75" hidden="true" customHeight="false" outlineLevel="0" collapsed="false">
      <c r="B122" s="0" t="s">
        <v>71</v>
      </c>
      <c r="H122" s="14" t="n">
        <v>1.1</v>
      </c>
      <c r="I122" s="27"/>
      <c r="J122" s="15" t="n">
        <v>0</v>
      </c>
      <c r="L122" s="14" t="n">
        <v>0.7</v>
      </c>
      <c r="N122" s="14" t="n">
        <v>27</v>
      </c>
      <c r="P122" s="11" t="n">
        <v>0</v>
      </c>
      <c r="R122" s="36" t="n">
        <f aca="false">G122-P122</f>
        <v>0</v>
      </c>
      <c r="T122" s="14" t="n">
        <v>0</v>
      </c>
    </row>
    <row r="123" customFormat="false" ht="12.75" hidden="true" customHeight="false" outlineLevel="0" collapsed="false">
      <c r="H123" s="14"/>
      <c r="I123" s="27"/>
      <c r="J123" s="14" t="s">
        <v>10</v>
      </c>
      <c r="L123" s="14"/>
      <c r="N123" s="14" t="s">
        <v>10</v>
      </c>
      <c r="P123" s="11"/>
      <c r="R123" s="14"/>
      <c r="T123" s="14" t="s">
        <v>10</v>
      </c>
    </row>
    <row r="124" customFormat="false" ht="12.75" hidden="false" customHeight="false" outlineLevel="0" collapsed="false">
      <c r="B124" s="0" t="s">
        <v>73</v>
      </c>
      <c r="H124" s="37" t="n">
        <v>14</v>
      </c>
      <c r="I124" s="44"/>
      <c r="J124" s="13" t="n">
        <v>128</v>
      </c>
      <c r="L124" s="14" t="n">
        <v>7.9</v>
      </c>
      <c r="M124" s="0" t="s">
        <v>10</v>
      </c>
      <c r="N124" s="14" t="n">
        <v>122</v>
      </c>
      <c r="P124" s="11" t="n">
        <v>7.1</v>
      </c>
      <c r="R124" s="36" t="n">
        <f aca="false">G124-P124</f>
        <v>-7.1</v>
      </c>
      <c r="T124" s="14" t="n">
        <v>45</v>
      </c>
      <c r="U124" s="0" t="s">
        <v>10</v>
      </c>
      <c r="V124" s="0" t="s">
        <v>10</v>
      </c>
      <c r="W124" s="0" t="s">
        <v>10</v>
      </c>
      <c r="X124" s="0" t="s">
        <v>10</v>
      </c>
    </row>
    <row r="125" customFormat="false" ht="12.75" hidden="false" customHeight="false" outlineLevel="0" collapsed="false">
      <c r="H125" s="14"/>
      <c r="I125" s="27"/>
      <c r="J125" s="14"/>
      <c r="L125" s="14"/>
      <c r="N125" s="14"/>
      <c r="P125" s="11"/>
      <c r="R125" s="36"/>
      <c r="T125" s="14"/>
    </row>
    <row r="126" customFormat="false" ht="12.75" hidden="false" customHeight="false" outlineLevel="0" collapsed="false">
      <c r="B126" s="0" t="s">
        <v>74</v>
      </c>
      <c r="E126" s="0" t="s">
        <v>10</v>
      </c>
      <c r="H126" s="14" t="n">
        <v>5.7</v>
      </c>
      <c r="I126" s="27"/>
      <c r="J126" s="13" t="n">
        <v>30</v>
      </c>
      <c r="L126" s="14" t="n">
        <v>2.5</v>
      </c>
      <c r="M126" s="0" t="s">
        <v>10</v>
      </c>
      <c r="N126" s="14" t="n">
        <f aca="false">28+7</f>
        <v>35</v>
      </c>
      <c r="P126" s="11" t="n">
        <v>1.4</v>
      </c>
      <c r="R126" s="36" t="n">
        <f aca="false">G126-P126</f>
        <v>-1.4</v>
      </c>
      <c r="T126" s="14" t="n">
        <f aca="false">6</f>
        <v>6</v>
      </c>
    </row>
    <row r="127" customFormat="false" ht="12.75" hidden="false" customHeight="false" outlineLevel="0" collapsed="false">
      <c r="H127" s="14"/>
      <c r="I127" s="27"/>
      <c r="J127" s="13"/>
      <c r="L127" s="14"/>
      <c r="N127" s="14"/>
      <c r="P127" s="11"/>
      <c r="R127" s="36"/>
      <c r="T127" s="14"/>
    </row>
    <row r="128" customFormat="false" ht="12.75" hidden="false" customHeight="false" outlineLevel="0" collapsed="false">
      <c r="B128" s="0" t="s">
        <v>75</v>
      </c>
      <c r="H128" s="14"/>
      <c r="I128" s="27"/>
      <c r="J128" s="13"/>
      <c r="L128" s="14"/>
      <c r="N128" s="14"/>
      <c r="P128" s="11" t="n">
        <v>1.1</v>
      </c>
      <c r="R128" s="36" t="n">
        <f aca="false">G128-P128</f>
        <v>-1.1</v>
      </c>
      <c r="T128" s="14" t="n">
        <v>5</v>
      </c>
    </row>
    <row r="129" customFormat="false" ht="12.75" hidden="false" customHeight="false" outlineLevel="0" collapsed="false">
      <c r="H129" s="14"/>
      <c r="I129" s="27"/>
      <c r="J129" s="14"/>
      <c r="L129" s="14"/>
      <c r="N129" s="14"/>
      <c r="P129" s="14"/>
      <c r="R129" s="14"/>
      <c r="T129" s="14"/>
    </row>
    <row r="130" customFormat="false" ht="12.75" hidden="false" customHeight="false" outlineLevel="0" collapsed="false">
      <c r="B130" s="0" t="s">
        <v>76</v>
      </c>
      <c r="H130" s="14" t="n">
        <v>10.7</v>
      </c>
      <c r="I130" s="27"/>
      <c r="J130" s="13" t="n">
        <v>39</v>
      </c>
      <c r="L130" s="14" t="n">
        <v>4.1</v>
      </c>
      <c r="M130" s="0" t="s">
        <v>10</v>
      </c>
      <c r="N130" s="43" t="n">
        <v>105</v>
      </c>
      <c r="P130" s="11" t="n">
        <v>2.3</v>
      </c>
      <c r="R130" s="36" t="n">
        <f aca="false">G130-P130</f>
        <v>-2.3</v>
      </c>
      <c r="T130" s="14" t="n">
        <v>14</v>
      </c>
    </row>
    <row r="131" customFormat="false" ht="12.75" hidden="true" customHeight="false" outlineLevel="0" collapsed="false">
      <c r="B131" s="0" t="s">
        <v>77</v>
      </c>
      <c r="H131" s="14" t="n">
        <v>1.1</v>
      </c>
      <c r="I131" s="27"/>
      <c r="J131" s="15" t="s">
        <v>10</v>
      </c>
      <c r="L131" s="14" t="n">
        <v>7.7</v>
      </c>
      <c r="N131" s="43"/>
      <c r="P131" s="11" t="n">
        <v>0</v>
      </c>
      <c r="R131" s="36" t="n">
        <f aca="false">G131-P131</f>
        <v>0</v>
      </c>
      <c r="T131" s="14" t="n">
        <v>0</v>
      </c>
    </row>
    <row r="132" customFormat="false" ht="12.75" hidden="false" customHeight="false" outlineLevel="0" collapsed="false">
      <c r="P132" s="14"/>
      <c r="R132" s="14"/>
      <c r="T132" s="14"/>
    </row>
    <row r="133" customFormat="false" ht="12.75" hidden="false" customHeight="false" outlineLevel="0" collapsed="false">
      <c r="B133" s="0" t="s">
        <v>78</v>
      </c>
      <c r="H133" s="14" t="n">
        <v>39.3</v>
      </c>
      <c r="I133" s="27"/>
      <c r="J133" s="13" t="n">
        <v>90</v>
      </c>
      <c r="L133" s="14" t="n">
        <v>10.1</v>
      </c>
      <c r="M133" s="0" t="s">
        <v>10</v>
      </c>
      <c r="N133" s="43" t="n">
        <v>116</v>
      </c>
      <c r="P133" s="11" t="n">
        <v>9.6</v>
      </c>
      <c r="R133" s="36" t="n">
        <f aca="false">G133-P133</f>
        <v>-9.6</v>
      </c>
      <c r="T133" s="14" t="n">
        <v>22</v>
      </c>
      <c r="U133" s="0" t="s">
        <v>10</v>
      </c>
      <c r="V133" s="0" t="s">
        <v>10</v>
      </c>
    </row>
    <row r="134" customFormat="false" ht="12.75" hidden="false" customHeight="false" outlineLevel="0" collapsed="false">
      <c r="H134" s="14"/>
      <c r="I134" s="27"/>
      <c r="J134" s="43"/>
      <c r="L134" s="14"/>
      <c r="N134" s="43"/>
      <c r="P134" s="11"/>
      <c r="R134" s="36"/>
      <c r="T134" s="43"/>
      <c r="V134" s="0" t="s">
        <v>10</v>
      </c>
    </row>
    <row r="135" customFormat="false" ht="12.75" hidden="false" customHeight="false" outlineLevel="0" collapsed="false">
      <c r="B135" s="0" t="s">
        <v>79</v>
      </c>
      <c r="H135" s="14"/>
      <c r="I135" s="27"/>
      <c r="J135" s="43"/>
      <c r="L135" s="14"/>
      <c r="M135" s="0" t="s">
        <v>10</v>
      </c>
      <c r="N135" s="43"/>
      <c r="P135" s="11"/>
      <c r="R135" s="36"/>
      <c r="T135" s="43"/>
    </row>
    <row r="136" customFormat="false" ht="12.75" hidden="false" customHeight="false" outlineLevel="0" collapsed="false">
      <c r="C136" s="0" t="s">
        <v>80</v>
      </c>
      <c r="H136" s="37" t="n">
        <f aca="false">15.3+0.7</f>
        <v>16</v>
      </c>
      <c r="I136" s="27"/>
      <c r="J136" s="43"/>
      <c r="L136" s="37" t="n">
        <v>6</v>
      </c>
      <c r="N136" s="43"/>
      <c r="P136" s="11" t="n">
        <v>5</v>
      </c>
      <c r="R136" s="36" t="n">
        <f aca="false">G136-P136</f>
        <v>-5</v>
      </c>
      <c r="T136" s="43"/>
    </row>
    <row r="137" customFormat="false" ht="12.75" hidden="false" customHeight="false" outlineLevel="0" collapsed="false">
      <c r="C137" s="0" t="s">
        <v>81</v>
      </c>
      <c r="H137" s="37" t="n">
        <v>1</v>
      </c>
      <c r="I137" s="44"/>
      <c r="J137" s="43"/>
      <c r="L137" s="14" t="n">
        <v>0.8</v>
      </c>
      <c r="N137" s="43"/>
      <c r="P137" s="11" t="n">
        <v>0.5</v>
      </c>
      <c r="R137" s="36" t="n">
        <f aca="false">G137-P137</f>
        <v>-0.5</v>
      </c>
      <c r="T137" s="43"/>
    </row>
    <row r="138" customFormat="false" ht="12.75" hidden="false" customHeight="false" outlineLevel="0" collapsed="false">
      <c r="C138" s="0" t="s">
        <v>65</v>
      </c>
      <c r="H138" s="37" t="n">
        <v>1</v>
      </c>
      <c r="I138" s="44"/>
      <c r="J138" s="43"/>
      <c r="L138" s="37" t="n">
        <v>0.1</v>
      </c>
      <c r="N138" s="43"/>
      <c r="P138" s="11" t="n">
        <v>1</v>
      </c>
      <c r="R138" s="36" t="n">
        <f aca="false">G138-P138</f>
        <v>-1</v>
      </c>
      <c r="T138" s="43"/>
    </row>
    <row r="139" customFormat="false" ht="12.75" hidden="false" customHeight="false" outlineLevel="0" collapsed="false">
      <c r="C139" s="0" t="s">
        <v>20</v>
      </c>
      <c r="H139" s="14" t="n">
        <v>0.4</v>
      </c>
      <c r="I139" s="27"/>
      <c r="J139" s="43"/>
      <c r="L139" s="14" t="n">
        <v>0.1</v>
      </c>
      <c r="N139" s="43"/>
      <c r="P139" s="11" t="n">
        <v>0.6</v>
      </c>
      <c r="R139" s="36" t="n">
        <f aca="false">G139-P139</f>
        <v>-0.6</v>
      </c>
      <c r="T139" s="43"/>
    </row>
    <row r="140" customFormat="false" ht="12.75" hidden="false" customHeight="false" outlineLevel="0" collapsed="false">
      <c r="H140" s="14"/>
      <c r="I140" s="27"/>
      <c r="J140" s="43"/>
      <c r="L140" s="14"/>
      <c r="N140" s="43"/>
      <c r="P140" s="11"/>
      <c r="R140" s="36"/>
      <c r="T140" s="43"/>
    </row>
    <row r="141" customFormat="false" ht="12.75" hidden="true" customHeight="false" outlineLevel="0" collapsed="false">
      <c r="B141" s="0" t="s">
        <v>82</v>
      </c>
      <c r="H141" s="14" t="n">
        <f aca="false">7.3-0.4</f>
        <v>6.9</v>
      </c>
      <c r="I141" s="27"/>
      <c r="J141" s="43"/>
      <c r="L141" s="14" t="n">
        <v>37.4</v>
      </c>
      <c r="N141" s="43"/>
      <c r="P141" s="11" t="n">
        <v>0</v>
      </c>
      <c r="R141" s="36"/>
      <c r="T141" s="43"/>
    </row>
    <row r="142" customFormat="false" ht="12.75" hidden="true" customHeight="false" outlineLevel="0" collapsed="false">
      <c r="H142" s="14"/>
      <c r="I142" s="27"/>
      <c r="J142" s="43"/>
      <c r="L142" s="14"/>
      <c r="N142" s="43"/>
      <c r="P142" s="11"/>
      <c r="R142" s="36"/>
      <c r="T142" s="43"/>
    </row>
    <row r="143" customFormat="false" ht="12.75" hidden="true" customHeight="false" outlineLevel="0" collapsed="false">
      <c r="B143" s="0" t="s">
        <v>83</v>
      </c>
      <c r="H143" s="15" t="n">
        <v>0</v>
      </c>
      <c r="I143" s="27"/>
      <c r="J143" s="43"/>
      <c r="L143" s="14" t="n">
        <v>20.9</v>
      </c>
      <c r="N143" s="43"/>
      <c r="P143" s="11"/>
      <c r="R143" s="36"/>
      <c r="T143" s="43"/>
    </row>
    <row r="144" customFormat="false" ht="12.75" hidden="true" customHeight="false" outlineLevel="0" collapsed="false">
      <c r="H144" s="14"/>
      <c r="I144" s="27"/>
      <c r="J144" s="43"/>
      <c r="L144" s="14"/>
      <c r="N144" s="43"/>
      <c r="P144" s="11"/>
      <c r="R144" s="36"/>
      <c r="T144" s="43"/>
    </row>
    <row r="145" customFormat="false" ht="12.75" hidden="true" customHeight="false" outlineLevel="0" collapsed="false">
      <c r="B145" s="0" t="s">
        <v>84</v>
      </c>
      <c r="H145" s="14" t="n">
        <v>0.1</v>
      </c>
      <c r="I145" s="27"/>
      <c r="J145" s="43" t="n">
        <v>0</v>
      </c>
      <c r="L145" s="37" t="n">
        <v>13.6</v>
      </c>
      <c r="N145" s="43" t="n">
        <f aca="false">29+29+10+37+24</f>
        <v>129</v>
      </c>
      <c r="P145" s="11" t="n">
        <v>0</v>
      </c>
      <c r="R145" s="36" t="n">
        <f aca="false">G145-P145</f>
        <v>0</v>
      </c>
      <c r="T145" s="43" t="n">
        <v>0</v>
      </c>
    </row>
    <row r="146" customFormat="false" ht="12.75" hidden="true" customHeight="false" outlineLevel="0" collapsed="false">
      <c r="H146" s="14"/>
      <c r="I146" s="27"/>
      <c r="J146" s="43"/>
      <c r="L146" s="14"/>
      <c r="N146" s="43"/>
      <c r="P146" s="11"/>
      <c r="R146" s="36"/>
      <c r="T146" s="43"/>
    </row>
    <row r="147" customFormat="false" ht="12.75" hidden="false" customHeight="false" outlineLevel="0" collapsed="false">
      <c r="H147" s="14"/>
      <c r="I147" s="27"/>
      <c r="J147" s="43"/>
      <c r="L147" s="14"/>
      <c r="N147" s="43"/>
      <c r="P147" s="11"/>
      <c r="R147" s="36"/>
      <c r="T147" s="43"/>
    </row>
    <row r="148" customFormat="false" ht="12.75" hidden="false" customHeight="false" outlineLevel="0" collapsed="false">
      <c r="B148" s="0" t="s">
        <v>85</v>
      </c>
      <c r="H148" s="14"/>
      <c r="I148" s="27"/>
      <c r="J148" s="43"/>
      <c r="L148" s="11"/>
      <c r="N148" s="43"/>
      <c r="P148" s="11" t="n">
        <f aca="false">9+2.4+2</f>
        <v>13.4</v>
      </c>
      <c r="R148" s="36" t="n">
        <f aca="false">G148-P148</f>
        <v>-13.4</v>
      </c>
      <c r="T148" s="43"/>
      <c r="U148" s="0" t="s">
        <v>86</v>
      </c>
    </row>
    <row r="149" customFormat="false" ht="12.75" hidden="false" customHeight="false" outlineLevel="0" collapsed="false">
      <c r="H149" s="14"/>
      <c r="I149" s="27"/>
      <c r="J149" s="43"/>
      <c r="L149" s="14"/>
      <c r="N149" s="43"/>
      <c r="P149" s="11"/>
      <c r="R149" s="36"/>
      <c r="T149" s="43"/>
      <c r="U149" s="0" t="s">
        <v>87</v>
      </c>
    </row>
    <row r="150" customFormat="false" ht="12.75" hidden="false" customHeight="false" outlineLevel="0" collapsed="false">
      <c r="B150" s="0" t="s">
        <v>88</v>
      </c>
      <c r="H150" s="14" t="n">
        <v>130.6</v>
      </c>
      <c r="I150" s="27"/>
      <c r="J150" s="14"/>
      <c r="L150" s="11" t="n">
        <v>61.2</v>
      </c>
      <c r="N150" s="14"/>
      <c r="P150" s="11" t="n">
        <v>0</v>
      </c>
      <c r="R150" s="15" t="n">
        <v>0</v>
      </c>
      <c r="T150" s="14"/>
    </row>
    <row r="151" customFormat="false" ht="12.75" hidden="false" customHeight="false" outlineLevel="0" collapsed="false">
      <c r="H151" s="14"/>
      <c r="I151" s="27"/>
      <c r="J151" s="29"/>
      <c r="L151" s="14"/>
      <c r="N151" s="29"/>
      <c r="P151" s="11"/>
      <c r="Q151" s="27"/>
      <c r="R151" s="36"/>
      <c r="T151" s="29"/>
    </row>
    <row r="152" customFormat="false" ht="12.75" hidden="false" customHeight="false" outlineLevel="0" collapsed="false">
      <c r="D152" s="17" t="s">
        <v>89</v>
      </c>
      <c r="H152" s="45" t="e">
        <f aca="false">+H124+H126+H85+H116+H118+H122+#REF!+H130+H109+H110+H131+H112+H114+H133+H136+H137+H138+H139+H145+H148+H141+H150</f>
        <v>#REF!</v>
      </c>
      <c r="I152" s="12"/>
      <c r="J152" s="46" t="e">
        <f aca="false">+J124+J126+#REF!+J130+J109+J133</f>
        <v>#REF!</v>
      </c>
      <c r="L152" s="45" t="e">
        <f aca="false">+L124+L126+L85+L116+L118+L122+#REF!+L130+L109+L110+L131+L112+L114+L133+L136+L137+L138+L139+L145+L148+L141+L150+L143</f>
        <v>#REF!</v>
      </c>
      <c r="N152" s="46" t="e">
        <f aca="false">+N124+N126+N85+N116+N118+N122+#REF!+N130+N109+N110+N131+N112+N114+N133+N136+N137+N138+N139+N145+N148+N141+N150</f>
        <v>#REF!</v>
      </c>
      <c r="P152" s="45" t="n">
        <f aca="false">P81+P83+P124+P126+P85+P116+P118+P122+P107+P130+P109+P110+P131+P112+P114+P133+P136+P137+P138+P139+P145+P148+P141+P150+P128+P120+P91+P89+P87</f>
        <v>178.3</v>
      </c>
      <c r="Q152" s="11" t="s">
        <v>10</v>
      </c>
      <c r="R152" s="45" t="n">
        <f aca="false">R81+R83+R124+R126+R85+R116+R118+R122+R107+R130+R109+R110+R131+R112+R114+R133+R136+R137+R138+R139+R145+R148+R141+R150+R128+R120+R91+R89+R87</f>
        <v>-178.3</v>
      </c>
      <c r="T152" s="46" t="n">
        <f aca="false">T81+T83+T124+T126+T85+T116+T118+T122+T107+T130+T109+T110+T131+T112+T114+T133+T136+T137+T138+T139+T1+T87+T89+T91+T10545+T148+T141+T150+T120+T128</f>
        <v>650</v>
      </c>
    </row>
    <row r="153" customFormat="false" ht="12.75" hidden="false" customHeight="false" outlineLevel="0" collapsed="false">
      <c r="E153" s="12"/>
      <c r="F153" s="27"/>
      <c r="G153" s="12"/>
      <c r="H153" s="11"/>
      <c r="I153" s="12"/>
      <c r="J153" s="47"/>
      <c r="K153" s="12"/>
      <c r="L153" s="11"/>
      <c r="N153" s="47"/>
      <c r="P153" s="47"/>
      <c r="R153" s="47"/>
      <c r="T153" s="47"/>
    </row>
    <row r="154" customFormat="false" ht="12.75" hidden="false" customHeight="false" outlineLevel="0" collapsed="false">
      <c r="E154" s="12"/>
      <c r="F154" s="27"/>
      <c r="G154" s="12"/>
      <c r="H154" s="11"/>
      <c r="I154" s="12"/>
      <c r="J154" s="11"/>
      <c r="K154" s="12"/>
      <c r="L154" s="11"/>
      <c r="N154" s="11"/>
      <c r="P154" s="11"/>
      <c r="R154" s="11"/>
      <c r="T154" s="11"/>
    </row>
    <row r="155" customFormat="false" ht="12.75" hidden="false" customHeight="false" outlineLevel="0" collapsed="false">
      <c r="D155" s="17" t="s">
        <v>90</v>
      </c>
      <c r="E155" s="33"/>
      <c r="F155" s="27"/>
      <c r="G155" s="32" t="n">
        <f aca="false">G79</f>
        <v>875</v>
      </c>
      <c r="H155" s="48" t="e">
        <f aca="false">H152+H79</f>
        <v>#REF!</v>
      </c>
      <c r="I155" s="42"/>
      <c r="J155" s="49" t="e">
        <f aca="false">J152+J79</f>
        <v>#REF!</v>
      </c>
      <c r="K155" s="33"/>
      <c r="L155" s="48" t="e">
        <f aca="false">L152+L79</f>
        <v>#REF!</v>
      </c>
      <c r="N155" s="49" t="e">
        <f aca="false">N152+N79</f>
        <v>#REF!</v>
      </c>
      <c r="P155" s="48" t="n">
        <f aca="false">P152+P79</f>
        <v>228</v>
      </c>
      <c r="R155" s="48" t="n">
        <f aca="false">G155-P155</f>
        <v>647</v>
      </c>
      <c r="T155" s="49" t="n">
        <f aca="false">T152+T79</f>
        <v>856</v>
      </c>
    </row>
    <row r="156" customFormat="false" ht="12.75" hidden="false" customHeight="false" outlineLevel="0" collapsed="false">
      <c r="F156" s="27"/>
      <c r="G156" s="12"/>
      <c r="H156" s="12"/>
      <c r="I156" s="12"/>
      <c r="J156" s="12"/>
      <c r="K156" s="12"/>
      <c r="L156" s="12"/>
      <c r="P156" s="12"/>
      <c r="R156" s="12"/>
      <c r="T156" s="12"/>
    </row>
    <row r="157" customFormat="false" ht="12.75" hidden="false" customHeight="false" outlineLevel="0" collapsed="false">
      <c r="B157" s="0" t="s">
        <v>91</v>
      </c>
      <c r="G157" s="27"/>
      <c r="H157" s="27"/>
      <c r="I157" s="27"/>
      <c r="J157" s="27"/>
      <c r="K157" s="27"/>
      <c r="L157" s="27"/>
      <c r="P157" s="27"/>
      <c r="Q157" s="27"/>
      <c r="R157" s="27"/>
      <c r="S157" s="27"/>
      <c r="T157" s="27"/>
    </row>
    <row r="158" customFormat="false" ht="12.75" hidden="false" customHeight="false" outlineLevel="0" collapsed="false">
      <c r="B158" s="0" t="s">
        <v>92</v>
      </c>
      <c r="G158" s="27"/>
      <c r="H158" s="27"/>
      <c r="I158" s="27"/>
      <c r="J158" s="27"/>
      <c r="K158" s="27"/>
      <c r="L158" s="27"/>
    </row>
    <row r="159" customFormat="false" ht="12.75" hidden="false" customHeight="false" outlineLevel="0" collapsed="false">
      <c r="B159" s="0" t="s">
        <v>93</v>
      </c>
      <c r="G159" s="27"/>
      <c r="H159" s="27"/>
      <c r="I159" s="27"/>
      <c r="J159" s="27"/>
      <c r="K159" s="27"/>
      <c r="L159" s="27"/>
    </row>
    <row r="160" customFormat="false" ht="12.75" hidden="false" customHeight="false" outlineLevel="0" collapsed="false">
      <c r="B160" s="0" t="s">
        <v>94</v>
      </c>
      <c r="G160" s="27"/>
      <c r="H160" s="27"/>
      <c r="I160" s="27"/>
      <c r="J160" s="27"/>
      <c r="K160" s="27"/>
      <c r="L160" s="27"/>
    </row>
    <row r="161" customFormat="false" ht="12.75" hidden="false" customHeight="false" outlineLevel="0" collapsed="false">
      <c r="B161" s="0" t="s">
        <v>95</v>
      </c>
    </row>
    <row r="162" customFormat="false" ht="12.75" hidden="false" customHeight="false" outlineLevel="0" collapsed="false">
      <c r="B162" s="0" t="s">
        <v>96</v>
      </c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5" bottom="0.6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189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128304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89100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+H10*0.2+6384</f>
        <v>24204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</v>
      </c>
      <c r="L11" s="60" t="n">
        <f aca="false">J11*K11</f>
        <v>48270.18125</v>
      </c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6162.47375</v>
      </c>
      <c r="I12" s="59"/>
      <c r="L12" s="60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15000</v>
      </c>
      <c r="I13" s="68" t="s">
        <v>129</v>
      </c>
      <c r="J13" s="69"/>
      <c r="K13" s="69"/>
      <c r="L13" s="70" t="n">
        <f aca="false">L8+L11</f>
        <v>176574.18125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</f>
        <v>0.00200000000016492</v>
      </c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871.358333333333</v>
      </c>
      <c r="N15" s="82"/>
      <c r="O15" s="82"/>
      <c r="P15" s="82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/>
      <c r="O16" s="82"/>
      <c r="P16" s="82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49.1666666666667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2"/>
      <c r="O17" s="82"/>
      <c r="P17" s="82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892.957666666667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82"/>
      <c r="O18" s="82"/>
      <c r="P18" s="82"/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910.086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0.133333333333333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1131.57425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138321.752</v>
      </c>
      <c r="I23" s="50" t="s">
        <v>157</v>
      </c>
      <c r="J23" s="50" t="n">
        <v>110000</v>
      </c>
      <c r="K23" s="50" t="n">
        <v>0</v>
      </c>
      <c r="L23" s="50" t="n">
        <f aca="false">J23*K23</f>
        <v>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0</v>
      </c>
      <c r="L24" s="50" t="n">
        <f aca="false">J24*K24</f>
        <v>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1</v>
      </c>
      <c r="L28" s="50" t="n">
        <f aca="false">SUM(L16:L27)*1.2</f>
        <v>106920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128304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:M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16.84"/>
    <col collapsed="false" customWidth="true" hidden="false" outlineLevel="0" max="15" min="15" style="0" width="15.85"/>
    <col collapsed="false" customWidth="true" hidden="fals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190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L28-H10</f>
        <v>1037520</v>
      </c>
      <c r="I8" s="59" t="s">
        <v>120</v>
      </c>
      <c r="J8" s="50" t="n">
        <v>0</v>
      </c>
      <c r="L8" s="60" t="n">
        <f aca="false">L30</f>
        <v>1351944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89100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L30-L28</f>
        <v>225324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7</v>
      </c>
      <c r="L11" s="60" t="n">
        <f aca="false">J11*K11</f>
        <v>337891.26875</v>
      </c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43137.31625</v>
      </c>
      <c r="I12" s="59"/>
      <c r="L12" s="60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(E13/$E$29)*$K$11</f>
        <v>38394.6984166667</v>
      </c>
      <c r="I13" s="68" t="s">
        <v>129</v>
      </c>
      <c r="J13" s="69"/>
      <c r="K13" s="69"/>
      <c r="L13" s="70" t="n">
        <f aca="false">L8+L11</f>
        <v>1689835.26875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</f>
        <v>0.0140000000011545</v>
      </c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6099.50833333333</v>
      </c>
      <c r="N15" s="82"/>
      <c r="O15" s="82"/>
      <c r="P15" s="82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/>
      <c r="O16" s="82"/>
      <c r="P16" s="82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344.166666666667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3"/>
      <c r="O17" s="83"/>
      <c r="P17" s="82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6250.70366666667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6370.602</v>
      </c>
      <c r="I19" s="50" t="s">
        <v>145</v>
      </c>
      <c r="J19" s="50" t="n">
        <v>57750</v>
      </c>
      <c r="K19" s="50" t="n">
        <v>1</v>
      </c>
      <c r="L19" s="50" t="n">
        <f aca="false">J19*K19</f>
        <v>57750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0.933333333333333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7921.01974999999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1460462.96241667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2</v>
      </c>
      <c r="L24" s="50" t="n">
        <f aca="false">J24*K24</f>
        <v>286000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6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7</v>
      </c>
      <c r="L28" s="50" t="n">
        <f aca="false">SUM(L16:L27)*1.2</f>
        <v>1126620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7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1351944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6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191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e">
        <f aca="false">#REF!+#REF!+#REF!+#REF!</f>
        <v>#REF!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9273600</v>
      </c>
      <c r="O8" s="65" t="e">
        <f aca="false">+F8/$F$29*$O$29</f>
        <v>#REF!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e">
        <f aca="false">#REF!+#REF!+#REF!+#REF!</f>
        <v>#REF!</v>
      </c>
      <c r="H9" s="91" t="n">
        <f aca="false">E9/$E$23</f>
        <v>0.0716886497316311</v>
      </c>
      <c r="J9" s="88"/>
      <c r="K9" s="27"/>
      <c r="L9" s="27"/>
      <c r="M9" s="89"/>
      <c r="O9" s="65" t="e">
        <f aca="false">+F9/$F$29*$O$29</f>
        <v>#REF!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e">
        <f aca="false">#REF!+#REF!+#REF!+#REF!</f>
        <v>#REF!</v>
      </c>
      <c r="H10" s="91" t="n">
        <f aca="false">E10/$E$23</f>
        <v>0.173657406666346</v>
      </c>
      <c r="J10" s="88"/>
      <c r="K10" s="27"/>
      <c r="L10" s="27"/>
      <c r="M10" s="89"/>
      <c r="O10" s="65" t="e">
        <f aca="false">+F10/$F$29*$O$29</f>
        <v>#REF!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e">
        <f aca="false">#REF!+#REF!+#REF!+#REF!</f>
        <v>#REF!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64</v>
      </c>
      <c r="M11" s="92" t="n">
        <f aca="false">K11*L11</f>
        <v>2027275.64164539</v>
      </c>
      <c r="O11" s="65" t="e">
        <f aca="false">+F11/$F$29*$O$29</f>
        <v>#REF!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e">
        <f aca="false">#REF!+#REF!+#REF!+#REF!</f>
        <v>#REF!</v>
      </c>
      <c r="H12" s="91" t="n">
        <f aca="false">E12/$E$23</f>
        <v>0.0437168934810347</v>
      </c>
      <c r="J12" s="88"/>
      <c r="K12" s="27"/>
      <c r="L12" s="27"/>
      <c r="M12" s="89"/>
      <c r="O12" s="65" t="e">
        <f aca="false">+F12/$F$29*$O$29</f>
        <v>#REF!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e">
        <f aca="false">#REF!+#REF!+#REF!+#REF!</f>
        <v>#REF!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11300875.6416454</v>
      </c>
      <c r="O13" s="65" t="e">
        <f aca="false">+F13/$F$29*$O$29</f>
        <v>#REF!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e">
        <f aca="false">#REF!+#REF!+#REF!+#REF!</f>
        <v>#REF!</v>
      </c>
      <c r="H14" s="91" t="n">
        <f aca="false">E14/$E$23</f>
        <v>2.98539034593965E-008</v>
      </c>
      <c r="N14" s="71"/>
      <c r="O14" s="65" t="e">
        <f aca="false">+F14/$F$29*$O$29</f>
        <v>#REF!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e">
        <f aca="false">#REF!+#REF!+#REF!+#REF!</f>
        <v>#REF!</v>
      </c>
      <c r="H15" s="91" t="n">
        <f aca="false">E15/$E$23</f>
        <v>0.00732419404718382</v>
      </c>
      <c r="K15" s="50"/>
      <c r="O15" s="65" t="e">
        <f aca="false">+F15/$F$29*$O$29</f>
        <v>#REF!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e">
        <f aca="false">#REF!+#REF!+#REF!+#REF!</f>
        <v>#REF!</v>
      </c>
      <c r="H16" s="91" t="n">
        <f aca="false">E16/$E$23</f>
        <v>0</v>
      </c>
      <c r="J16" s="0" t="s">
        <v>193</v>
      </c>
      <c r="K16" s="50" t="n">
        <v>33600</v>
      </c>
      <c r="L16" s="0" t="n">
        <v>2</v>
      </c>
      <c r="M16" s="50" t="n">
        <f aca="false">K16*L16</f>
        <v>67200</v>
      </c>
      <c r="O16" s="65" t="e">
        <f aca="false">+F16/$F$29*$O$29</f>
        <v>#REF!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e">
        <f aca="false">#REF!+#REF!+#REF!+#REF!</f>
        <v>#REF!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2</v>
      </c>
      <c r="M17" s="50" t="n">
        <f aca="false">K17*L17</f>
        <v>105600</v>
      </c>
      <c r="O17" s="65" t="e">
        <f aca="false">+F17/$F$29*$O$29</f>
        <v>#REF!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e">
        <f aca="false">#REF!+#REF!+#REF!+#REF!</f>
        <v>#REF!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f aca="false">1</f>
        <v>1</v>
      </c>
      <c r="M18" s="50" t="n">
        <f aca="false">K18*L18</f>
        <v>54000</v>
      </c>
      <c r="O18" s="65" t="e">
        <f aca="false">+F18/$F$29*$O$29</f>
        <v>#REF!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e">
        <f aca="false">#REF!+#REF!+#REF!+#REF!</f>
        <v>#REF!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e">
        <f aca="false">+F19/$F$29*$O$29</f>
        <v>#REF!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e">
        <f aca="false">#REF!+#REF!+#REF!+#REF!</f>
        <v>#REF!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f aca="false">6</f>
        <v>6</v>
      </c>
      <c r="M20" s="50" t="n">
        <f aca="false">K20*L20</f>
        <v>468000</v>
      </c>
      <c r="O20" s="65" t="e">
        <f aca="false">+F20/$F$29*$O$29</f>
        <v>#REF!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e">
        <f aca="false">#REF!+#REF!+#REF!+#REF!</f>
        <v>#REF!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f aca="false">6</f>
        <v>6</v>
      </c>
      <c r="M21" s="50" t="n">
        <f aca="false">K21*L21</f>
        <v>396000</v>
      </c>
      <c r="O21" s="65" t="e">
        <f aca="false">+F21/$F$29*$O$29</f>
        <v>#REF!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e">
        <f aca="false">#REF!+#REF!+#REF!+#REF!</f>
        <v>#REF!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f aca="false">10+1</f>
        <v>11</v>
      </c>
      <c r="M22" s="50" t="n">
        <f aca="false">K22*L22</f>
        <v>1069200</v>
      </c>
      <c r="O22" s="65" t="e">
        <f aca="false">+F22/$F$29*$O$29</f>
        <v>#REF!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e">
        <f aca="false">SUM(F8:F22)</f>
        <v>#REF!</v>
      </c>
      <c r="H23" s="97" t="n">
        <f aca="false">SUM(H8:H22)</f>
        <v>1</v>
      </c>
      <c r="J23" s="0" t="s">
        <v>157</v>
      </c>
      <c r="K23" s="50" t="n">
        <v>120000</v>
      </c>
      <c r="L23" s="0" t="n">
        <f aca="false">11+4</f>
        <v>15</v>
      </c>
      <c r="M23" s="50" t="n">
        <f aca="false">K23*L23</f>
        <v>1800000</v>
      </c>
      <c r="O23" s="96" t="e">
        <f aca="false">SUM(O8:O22)</f>
        <v>#REF!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f aca="false">2+4+7</f>
        <v>13</v>
      </c>
      <c r="M24" s="50" t="n">
        <f aca="false">K24*L24</f>
        <v>2028000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65" t="e">
        <f aca="false">#REF!+#REF!+#REF!+#REF!</f>
        <v>#REF!</v>
      </c>
      <c r="J25" s="0" t="s">
        <v>159</v>
      </c>
      <c r="K25" s="50" t="n">
        <v>180000</v>
      </c>
      <c r="L25" s="0" t="n">
        <f aca="false">1</f>
        <v>1</v>
      </c>
      <c r="M25" s="50" t="n">
        <f aca="false">K25*L25</f>
        <v>180000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f aca="false">4+1</f>
        <v>5</v>
      </c>
      <c r="M26" s="50" t="n">
        <f aca="false">K26*L26</f>
        <v>1080000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65" t="e">
        <f aca="false">#REF!+#REF!+#REF!+#REF!</f>
        <v>#REF!</v>
      </c>
      <c r="J27" s="0" t="s">
        <v>162</v>
      </c>
      <c r="K27" s="50" t="n">
        <v>240000</v>
      </c>
      <c r="L27" s="0" t="n">
        <v>2</v>
      </c>
      <c r="M27" s="50" t="n">
        <f aca="false">K27*L27</f>
        <v>480000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64</v>
      </c>
      <c r="M28" s="50" t="n">
        <f aca="false">SUM(M16:M27)</f>
        <v>7728000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e">
        <f aca="false">SUM(F25:F27)</f>
        <v>#REF!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64</v>
      </c>
      <c r="M34" s="80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195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707124</v>
      </c>
      <c r="I8" s="59" t="s">
        <v>120</v>
      </c>
      <c r="J8" s="50" t="n">
        <v>0</v>
      </c>
      <c r="L8" s="60" t="n">
        <f aca="false">L30</f>
        <v>985248</v>
      </c>
      <c r="M8" s="71"/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v>196020</v>
      </c>
      <c r="I10" s="59"/>
      <c r="L10" s="60"/>
      <c r="M10" s="71"/>
      <c r="N10" s="82"/>
      <c r="O10" s="82"/>
      <c r="P10" s="82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180628.8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5</v>
      </c>
      <c r="L11" s="60" t="n">
        <f aca="false">J11*K11</f>
        <v>241350.90625</v>
      </c>
      <c r="M11" s="71"/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38500</v>
      </c>
      <c r="I12" s="59"/>
      <c r="L12" s="60"/>
      <c r="M12" s="71" t="n">
        <v>1.2</v>
      </c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38500</v>
      </c>
      <c r="I13" s="68" t="s">
        <v>129</v>
      </c>
      <c r="J13" s="69"/>
      <c r="K13" s="69"/>
      <c r="L13" s="70" t="n">
        <f aca="false">L8+L11</f>
        <v>1226598.90625</v>
      </c>
      <c r="M13" s="71" t="n">
        <v>1.1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5500</v>
      </c>
      <c r="M14" s="71"/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22000</v>
      </c>
      <c r="M15" s="71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M16" s="71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270.416666666667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M17" s="71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-0.232833333332746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M18" s="71"/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5005.473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M19" s="71"/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0.733333333333334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M20" s="71"/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6600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M21" s="71"/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2</v>
      </c>
      <c r="L22" s="50" t="n">
        <f aca="false">J22*K22</f>
        <v>178200</v>
      </c>
      <c r="M22" s="71"/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1200149.19016667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M23" s="76"/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0</v>
      </c>
      <c r="L24" s="50" t="n">
        <f aca="false">J24*K24</f>
        <v>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3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2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5</v>
      </c>
      <c r="L28" s="50" t="n">
        <f aca="false">SUM(L16:L27)*1.2</f>
        <v>821040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5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985248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5</v>
      </c>
      <c r="L34" s="80" t="n">
        <f aca="false">+J34*K34</f>
        <v>241350.90625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</row>
    <row r="2" customFormat="false" ht="18" hidden="false" customHeight="false" outlineLevel="0" collapsed="false">
      <c r="B2" s="51" t="s">
        <v>196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O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O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1127500</v>
      </c>
      <c r="I8" s="59" t="s">
        <v>120</v>
      </c>
      <c r="J8" s="50" t="n">
        <v>0</v>
      </c>
      <c r="L8" s="60" t="n">
        <f aca="false">L30</f>
        <v>1512720</v>
      </c>
      <c r="O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O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82500</v>
      </c>
      <c r="I10" s="59"/>
      <c r="L10" s="60"/>
      <c r="O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242000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8</v>
      </c>
      <c r="L11" s="60" t="n">
        <f aca="false">J11*K11</f>
        <v>386161.45</v>
      </c>
      <c r="O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27500</v>
      </c>
      <c r="I12" s="59"/>
      <c r="L12" s="60"/>
      <c r="O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27500</v>
      </c>
      <c r="I13" s="68" t="s">
        <v>129</v>
      </c>
      <c r="J13" s="69"/>
      <c r="K13" s="69"/>
      <c r="L13" s="70" t="n">
        <f aca="false">L8+L11</f>
        <v>1898881.45</v>
      </c>
      <c r="O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O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22000</v>
      </c>
      <c r="O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O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550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O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O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110000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O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1.1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O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27500</v>
      </c>
      <c r="I21" s="50" t="s">
        <v>151</v>
      </c>
      <c r="J21" s="50" t="n">
        <v>60500</v>
      </c>
      <c r="K21" s="50" t="n">
        <v>1</v>
      </c>
      <c r="L21" s="50" t="n">
        <f aca="false">J21*K21</f>
        <v>60500</v>
      </c>
      <c r="O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3928820.5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5595871.6</v>
      </c>
      <c r="I23" s="50" t="s">
        <v>157</v>
      </c>
      <c r="J23" s="50" t="n">
        <v>110000</v>
      </c>
      <c r="K23" s="50" t="n">
        <v>2</v>
      </c>
      <c r="L23" s="50" t="n">
        <f aca="false">J23*K23</f>
        <v>220000</v>
      </c>
      <c r="O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4</v>
      </c>
      <c r="L24" s="50" t="n">
        <f aca="false">J24*K24</f>
        <v>572000</v>
      </c>
      <c r="O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7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O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65"/>
    </row>
    <row r="28" customFormat="false" ht="12.75" hidden="false" customHeight="false" outlineLevel="0" collapsed="false">
      <c r="K28" s="50" t="n">
        <f aca="false">SUM(K16:K27)</f>
        <v>8</v>
      </c>
      <c r="L28" s="50" t="n">
        <f aca="false">SUM(L16:L27)*1.2</f>
        <v>1260600</v>
      </c>
      <c r="O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8</v>
      </c>
      <c r="L29" s="78" t="n">
        <v>0.2</v>
      </c>
      <c r="O29" s="65"/>
    </row>
    <row r="30" customFormat="false" ht="12.75" hidden="true" customHeight="false" outlineLevel="0" collapsed="false">
      <c r="L30" s="50" t="n">
        <f aca="false">L28*1.2</f>
        <v>1512720</v>
      </c>
      <c r="O30" s="27"/>
    </row>
    <row r="31" customFormat="false" ht="12.75" hidden="true" customHeight="false" outlineLevel="0" collapsed="false">
      <c r="H31" s="17" t="s">
        <v>164</v>
      </c>
      <c r="L31" s="0"/>
      <c r="O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O34" s="27"/>
    </row>
    <row r="35" customFormat="false" ht="12.75" hidden="true" customHeight="false" outlineLevel="0" collapsed="false">
      <c r="O35" s="27"/>
    </row>
    <row r="36" customFormat="false" ht="12.75" hidden="true" customHeight="false" outlineLevel="0" collapsed="false">
      <c r="O36" s="27"/>
    </row>
    <row r="37" customFormat="false" ht="12.75" hidden="true" customHeight="false" outlineLevel="0" collapsed="false">
      <c r="O37" s="27"/>
    </row>
    <row r="38" customFormat="false" ht="12.75" hidden="true" customHeight="false" outlineLevel="0" collapsed="false">
      <c r="O38" s="27"/>
    </row>
    <row r="39" customFormat="false" ht="12.75" hidden="false" customHeight="false" outlineLevel="0" collapsed="false">
      <c r="O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197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(((L28-H10)*1.2)/1.2)*1.1</f>
        <v>1178661</v>
      </c>
      <c r="I8" s="59" t="s">
        <v>120</v>
      </c>
      <c r="J8" s="50" t="n">
        <v>0</v>
      </c>
      <c r="L8" s="60" t="n">
        <f aca="false">L30</f>
        <v>1403424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(((L21+L22)*1.2)/1.2)*1.1</f>
        <v>98010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(((L30-L28)*1.2)/1.2)*1.1</f>
        <v>257294.4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8</v>
      </c>
      <c r="L11" s="60" t="n">
        <f aca="false">J11*K11</f>
        <v>386161.45</v>
      </c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((((E12/$E$29)*$K$11)*1.2)/1.2)*1.1</f>
        <v>54229.769</v>
      </c>
      <c r="I12" s="59"/>
      <c r="L12" s="60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16500</v>
      </c>
      <c r="I13" s="68" t="s">
        <v>129</v>
      </c>
      <c r="J13" s="69"/>
      <c r="K13" s="69"/>
      <c r="L13" s="70" t="n">
        <f aca="false">L8+L11</f>
        <v>1789585.45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((((E14/$E$29)*$K$11)*1.2)/1.2)*1.1</f>
        <v>0.0176000000014513</v>
      </c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((((E15/$E$29)*$K$11)*1.2)/1.2)*1.1</f>
        <v>7667.95333333333</v>
      </c>
      <c r="N15" s="82"/>
      <c r="O15" s="82"/>
      <c r="P15" s="82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((((E16/$E$29)*$K$11)*1.2)/1.2)*1.1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/>
      <c r="O16" s="82"/>
      <c r="P16" s="82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((((E17/$E$29)*$K$11)*1.2)/1.2)*1.1</f>
        <v>432.666666666667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2"/>
      <c r="O17" s="82"/>
      <c r="P17" s="82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((((E18/$E$29)*$K$11)*1.2)/1.2)*1.1</f>
        <v>7858.02746666667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82"/>
      <c r="O18" s="82"/>
      <c r="P18" s="82"/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((((E19/$E$29)*$K$11)*1.2)/1.2)*1.1</f>
        <v>8008.7568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((((E20/$E$29)*$K$11)*1.2)/1.2)*1.1</f>
        <v>1.17333333333333</v>
      </c>
      <c r="I20" s="50" t="s">
        <v>148</v>
      </c>
      <c r="J20" s="50" t="n">
        <v>71500</v>
      </c>
      <c r="K20" s="50" t="n">
        <v>1</v>
      </c>
      <c r="L20" s="50" t="n">
        <f aca="false">J20*K20</f>
        <v>71500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((((E21/$E$29)*$K$11)*1.2)/1.2)*1.1</f>
        <v>9957.85339999999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1638621.6176</v>
      </c>
      <c r="I23" s="50" t="s">
        <v>157</v>
      </c>
      <c r="J23" s="50" t="n">
        <v>110000</v>
      </c>
      <c r="K23" s="50" t="n">
        <v>3</v>
      </c>
      <c r="L23" s="50" t="n">
        <f aca="false">J23*K23</f>
        <v>330000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2</v>
      </c>
      <c r="L24" s="50" t="n">
        <f aca="false">J24*K24</f>
        <v>286000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7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8</v>
      </c>
      <c r="L28" s="50" t="n">
        <f aca="false">SUM(L16:L27)*1.2</f>
        <v>1169520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8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1403424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198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  <c r="N5" s="84" t="s">
        <v>173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N6" s="61" t="s">
        <v>114</v>
      </c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N7" s="62" t="s">
        <v>118</v>
      </c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785086.5</v>
      </c>
      <c r="I8" s="59" t="s">
        <v>120</v>
      </c>
      <c r="J8" s="50" t="n">
        <v>0</v>
      </c>
      <c r="L8" s="60" t="n">
        <f aca="false">L30</f>
        <v>1507968</v>
      </c>
      <c r="N8" s="65" t="n">
        <f aca="false">H8/2*1.5+75670+10715</f>
        <v>675199.875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N9" s="65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462220</v>
      </c>
      <c r="I10" s="59"/>
      <c r="L10" s="60"/>
      <c r="N10" s="65" t="n">
        <v>420200</v>
      </c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234836.8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10</v>
      </c>
      <c r="L11" s="60" t="n">
        <f aca="false">J11*K11</f>
        <v>482701.8125</v>
      </c>
      <c r="N11" s="65" t="n">
        <f aca="false">H11/2*1.5+24992</f>
        <v>201119.6</v>
      </c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82500</v>
      </c>
      <c r="I12" s="59"/>
      <c r="L12" s="60"/>
      <c r="N12" s="65" t="n">
        <v>75000</v>
      </c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82500</v>
      </c>
      <c r="I13" s="68" t="s">
        <v>129</v>
      </c>
      <c r="J13" s="69"/>
      <c r="K13" s="69"/>
      <c r="L13" s="70" t="n">
        <f aca="false">L8+L11</f>
        <v>1990669.8125</v>
      </c>
      <c r="N13" s="65" t="n">
        <v>75000</v>
      </c>
      <c r="P13" s="71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N14" s="65" t="n">
        <v>0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55000</v>
      </c>
      <c r="N15" s="65" t="n">
        <v>50000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65" t="n"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649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65" t="n">
        <v>590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65" t="n"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110000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N19" s="65" t="n">
        <v>100000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2.2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N20" s="65" t="n">
        <v>2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16500</v>
      </c>
      <c r="I21" s="50" t="s">
        <v>151</v>
      </c>
      <c r="J21" s="50" t="n">
        <v>60500</v>
      </c>
      <c r="K21" s="50" t="n">
        <v>4</v>
      </c>
      <c r="L21" s="50" t="n">
        <f aca="false">J21*K21</f>
        <v>242000</v>
      </c>
      <c r="N21" s="65" t="n">
        <v>15000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2</v>
      </c>
      <c r="L22" s="50" t="n">
        <f aca="false">J22*K22</f>
        <v>178200</v>
      </c>
      <c r="N22" s="65" t="n">
        <v>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1829294.5</v>
      </c>
      <c r="I23" s="50" t="s">
        <v>157</v>
      </c>
      <c r="J23" s="50" t="n">
        <v>110000</v>
      </c>
      <c r="K23" s="50" t="n">
        <v>0</v>
      </c>
      <c r="L23" s="50" t="n">
        <f aca="false">J23*K23</f>
        <v>0</v>
      </c>
      <c r="N23" s="74" t="n">
        <f aca="false">SUM(N8:N22)</f>
        <v>1612111.475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3</f>
        <v>3</v>
      </c>
      <c r="L24" s="50" t="n">
        <f aca="false">J24*K24</f>
        <v>429000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4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6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10</v>
      </c>
      <c r="L28" s="50" t="n">
        <f aca="false">SUM(L16:L27)*1.2</f>
        <v>1256640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10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1507968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16.84"/>
    <col collapsed="false" customWidth="true" hidden="false" outlineLevel="0" max="15" min="15" style="0" width="15.85"/>
    <col collapsed="false" customWidth="true" hidden="fals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199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(((L28-H10)*1.2)/1.2)*1.1</f>
        <v>1131471</v>
      </c>
      <c r="I8" s="59" t="s">
        <v>120</v>
      </c>
      <c r="J8" s="50" t="n">
        <v>0</v>
      </c>
      <c r="L8" s="60" t="n">
        <f aca="false">L30</f>
        <v>1351944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(((L21+L22)*1.2)/1.2)*1.1</f>
        <v>98010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(((L30-L28)*1.2)/1.2)*1.1</f>
        <v>247856.4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7</v>
      </c>
      <c r="L11" s="60" t="n">
        <f aca="false">J11*K11</f>
        <v>337891.26875</v>
      </c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((((E12/$E$29)*$K$11)*1.2)/1.2)*1.1</f>
        <v>47451.047875</v>
      </c>
      <c r="I12" s="59"/>
      <c r="L12" s="60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((((E13/$E$29)*$K$11)*1.2)/1.2)*1.1</f>
        <v>42234.1682583333</v>
      </c>
      <c r="I13" s="68" t="s">
        <v>129</v>
      </c>
      <c r="J13" s="69"/>
      <c r="K13" s="69"/>
      <c r="L13" s="70" t="n">
        <f aca="false">L8+L11</f>
        <v>1689835.26875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((((E14/$E$29)*$K$11)*1.2)/1.2)*1.1</f>
        <v>0.0154000000012699</v>
      </c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((((E15/$E$29)*$K$11)*1.2)/1.2)*1.1</f>
        <v>6709.45916666667</v>
      </c>
      <c r="N15" s="82"/>
      <c r="O15" s="82"/>
      <c r="P15" s="82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((((E16/$E$29)*$K$11)*1.2)/1.2)*1.1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/>
      <c r="O16" s="82"/>
      <c r="P16" s="82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((((E17/$E$29)*$K$11)*1.2)/1.2)*1.1</f>
        <v>378.583333333333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3"/>
      <c r="O17" s="83"/>
      <c r="P17" s="82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((((E18/$E$29)*$K$11)*1.2)/1.2)*1.1</f>
        <v>6875.77403333334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((((E19/$E$29)*$K$11)*1.2)/1.2)*1.1</f>
        <v>7007.6622</v>
      </c>
      <c r="I19" s="50" t="s">
        <v>145</v>
      </c>
      <c r="J19" s="50" t="n">
        <v>57750</v>
      </c>
      <c r="K19" s="50" t="n">
        <v>1</v>
      </c>
      <c r="L19" s="50" t="n">
        <f aca="false">J19*K19</f>
        <v>57750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((((E20/$E$29)*$K$11)*1.2)/1.2)*1.1</f>
        <v>1.02666666666667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((((E21/$E$29)*$K$11)*1.2)/1.2)*1.1</f>
        <v>8713.12172499999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1596708.25865833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2</v>
      </c>
      <c r="L24" s="50" t="n">
        <f aca="false">J24*K24</f>
        <v>286000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6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7</v>
      </c>
      <c r="L28" s="50" t="n">
        <f aca="false">SUM(L16:L27)*1.2</f>
        <v>1126620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7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1351944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200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630459.5</v>
      </c>
      <c r="I8" s="59" t="s">
        <v>120</v>
      </c>
      <c r="J8" s="50" t="n">
        <v>0</v>
      </c>
      <c r="L8" s="60" t="n">
        <f aca="false">L30</f>
        <v>839520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(((L21+L22)*1.2)/1.2)*1.1</f>
        <v>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100652.2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4</v>
      </c>
      <c r="L11" s="60" t="n">
        <f aca="false">J11*K11</f>
        <v>193080.725</v>
      </c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74611.9</v>
      </c>
      <c r="I12" s="59"/>
      <c r="L12" s="60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427428.1</v>
      </c>
      <c r="I13" s="68" t="s">
        <v>129</v>
      </c>
      <c r="J13" s="69"/>
      <c r="K13" s="69"/>
      <c r="L13" s="70" t="n">
        <f aca="false">L8+L11</f>
        <v>1032600.725</v>
      </c>
      <c r="N13" s="50" t="n">
        <v>1.1</v>
      </c>
      <c r="P13" s="71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44000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120811.9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9428.1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0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50285.4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12571.9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1470249</v>
      </c>
      <c r="I23" s="50" t="s">
        <v>157</v>
      </c>
      <c r="J23" s="50" t="n">
        <v>110000</v>
      </c>
      <c r="K23" s="50" t="n">
        <v>2</v>
      </c>
      <c r="L23" s="50" t="n">
        <f aca="false">J23*K23</f>
        <v>220000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1</v>
      </c>
      <c r="L24" s="50" t="n">
        <f aca="false">J24*K24</f>
        <v>143000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4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1</v>
      </c>
      <c r="L27" s="50" t="n">
        <f aca="false">J27*K27</f>
        <v>220000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4</v>
      </c>
      <c r="L28" s="50" t="n">
        <f aca="false">SUM(L16:L27)*1.2</f>
        <v>699600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4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839520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4</v>
      </c>
      <c r="L34" s="80" t="n">
        <f aca="false">+J34*K34</f>
        <v>193080.725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3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8" hidden="false" customHeight="false" outlineLevel="0" collapsed="false">
      <c r="B2" s="51" t="s">
        <v>201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N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N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624360</v>
      </c>
      <c r="I8" s="59" t="s">
        <v>120</v>
      </c>
      <c r="J8" s="50" t="n">
        <v>0</v>
      </c>
      <c r="L8" s="60" t="n">
        <f aca="false">L30</f>
        <v>855360</v>
      </c>
      <c r="N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N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0</v>
      </c>
      <c r="I10" s="59"/>
      <c r="L10" s="60"/>
      <c r="N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128612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4</v>
      </c>
      <c r="L11" s="60" t="n">
        <f aca="false">J11*K11</f>
        <v>193080.725</v>
      </c>
      <c r="N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33000</v>
      </c>
      <c r="I12" s="59"/>
      <c r="L12" s="60"/>
      <c r="N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247500</v>
      </c>
      <c r="I13" s="68" t="s">
        <v>129</v>
      </c>
      <c r="J13" s="69"/>
      <c r="K13" s="69"/>
      <c r="L13" s="70" t="n">
        <f aca="false">L8+L11</f>
        <v>1048440.725</v>
      </c>
      <c r="N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N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22000</v>
      </c>
      <c r="N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5500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22000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N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N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6217.2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N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N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1089189.2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N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1+1</f>
        <v>2</v>
      </c>
      <c r="L24" s="50" t="n">
        <f aca="false">J24*K24</f>
        <v>286000</v>
      </c>
      <c r="N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4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N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N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N27" s="65"/>
    </row>
    <row r="28" customFormat="false" ht="12.75" hidden="false" customHeight="false" outlineLevel="0" collapsed="false">
      <c r="K28" s="50" t="n">
        <f aca="false">SUM(K16:K27)</f>
        <v>4</v>
      </c>
      <c r="L28" s="50" t="n">
        <f aca="false">SUM(L16:L27)*1.2</f>
        <v>712800</v>
      </c>
      <c r="N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4</v>
      </c>
      <c r="L29" s="78" t="n">
        <v>0.2</v>
      </c>
      <c r="N29" s="65"/>
    </row>
    <row r="30" customFormat="false" ht="12.75" hidden="true" customHeight="false" outlineLevel="0" collapsed="false">
      <c r="L30" s="50" t="n">
        <f aca="false">L28*1.2</f>
        <v>855360</v>
      </c>
      <c r="N30" s="27"/>
    </row>
    <row r="31" customFormat="false" ht="12.75" hidden="true" customHeight="false" outlineLevel="0" collapsed="false">
      <c r="H31" s="17" t="s">
        <v>164</v>
      </c>
      <c r="L31" s="0"/>
      <c r="N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N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N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4</v>
      </c>
      <c r="L34" s="80" t="n">
        <f aca="false">+J34*K34</f>
        <v>193080.725</v>
      </c>
      <c r="N34" s="27"/>
    </row>
    <row r="35" customFormat="false" ht="12.75" hidden="true" customHeight="false" outlineLevel="0" collapsed="false">
      <c r="N35" s="27"/>
    </row>
    <row r="36" customFormat="false" ht="12.75" hidden="true" customHeight="false" outlineLevel="0" collapsed="false">
      <c r="N36" s="27"/>
    </row>
    <row r="37" customFormat="false" ht="12.75" hidden="true" customHeight="false" outlineLevel="0" collapsed="false">
      <c r="N37" s="27"/>
    </row>
    <row r="38" customFormat="false" ht="12.75" hidden="true" customHeight="false" outlineLevel="0" collapsed="false">
      <c r="N38" s="27"/>
    </row>
    <row r="39" customFormat="false" ht="12.75" hidden="false" customHeight="false" outlineLevel="0" collapsed="false">
      <c r="N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2</v>
      </c>
      <c r="I4" s="1"/>
      <c r="J4" s="4" t="n">
        <v>2000</v>
      </c>
      <c r="L4" s="4" t="s">
        <v>3</v>
      </c>
      <c r="N4" s="4" t="n">
        <v>2001</v>
      </c>
      <c r="P4" s="4" t="s">
        <v>1</v>
      </c>
      <c r="T4" s="4" t="s">
        <v>1</v>
      </c>
    </row>
    <row r="5" customFormat="false" ht="13.5" hidden="false" customHeight="false" outlineLevel="0" collapsed="false">
      <c r="E5" s="4" t="s">
        <v>4</v>
      </c>
      <c r="G5" s="5" t="s">
        <v>5</v>
      </c>
      <c r="H5" s="6" t="s">
        <v>6</v>
      </c>
      <c r="I5" s="1"/>
      <c r="J5" s="6" t="s">
        <v>7</v>
      </c>
      <c r="K5" s="1"/>
      <c r="L5" s="6" t="s">
        <v>6</v>
      </c>
      <c r="M5" s="7"/>
      <c r="N5" s="6" t="s">
        <v>7</v>
      </c>
      <c r="O5" s="7"/>
      <c r="P5" s="6" t="s">
        <v>6</v>
      </c>
      <c r="R5" s="4" t="s">
        <v>8</v>
      </c>
      <c r="T5" s="6" t="s">
        <v>7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98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10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10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99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100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40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27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27"/>
    </row>
    <row r="16" customFormat="false" ht="12.75" hidden="true" customHeight="false" outlineLevel="0" collapsed="false">
      <c r="B16" s="0" t="s">
        <v>20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27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27"/>
    </row>
    <row r="18" customFormat="false" ht="12.75" hidden="true" customHeight="false" outlineLevel="0" collapsed="false">
      <c r="B18" s="0" t="s">
        <v>42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27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10</v>
      </c>
      <c r="K19" s="12"/>
      <c r="L19" s="11"/>
      <c r="M19" s="12"/>
      <c r="N19" s="14" t="s">
        <v>10</v>
      </c>
      <c r="O19" s="12"/>
      <c r="P19" s="11"/>
      <c r="Q19" s="12"/>
      <c r="R19" s="11"/>
      <c r="T19" s="14" t="s">
        <v>10</v>
      </c>
      <c r="V19" s="27"/>
    </row>
    <row r="20" customFormat="false" ht="12.75" hidden="true" customHeight="false" outlineLevel="0" collapsed="false">
      <c r="B20" s="0" t="s">
        <v>43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27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27"/>
    </row>
    <row r="22" customFormat="false" ht="12.75" hidden="false" customHeight="false" outlineLevel="0" collapsed="false">
      <c r="B22" s="0" t="s">
        <v>101</v>
      </c>
      <c r="E22" s="14"/>
      <c r="G22" s="14"/>
      <c r="H22" s="14" t="n">
        <v>34.3</v>
      </c>
      <c r="I22" s="27"/>
      <c r="J22" s="13" t="n">
        <v>65</v>
      </c>
      <c r="K22" s="27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29"/>
      <c r="G23" s="29"/>
      <c r="H23" s="14"/>
      <c r="I23" s="27"/>
      <c r="J23" s="29"/>
      <c r="K23" s="27"/>
      <c r="L23" s="14"/>
      <c r="N23" s="29"/>
      <c r="P23" s="30"/>
      <c r="R23" s="29"/>
      <c r="T23" s="29"/>
    </row>
    <row r="24" customFormat="false" ht="12.75" hidden="false" customHeight="false" outlineLevel="0" collapsed="false">
      <c r="D24" s="17" t="s">
        <v>46</v>
      </c>
      <c r="E24" s="31" t="n">
        <v>60</v>
      </c>
      <c r="G24" s="32" t="n">
        <f aca="false">G14+G12+G10+G8</f>
        <v>875</v>
      </c>
      <c r="H24" s="32" t="n">
        <f aca="false">+H8+H10+H12+H14+H16+H22+H18+H20</f>
        <v>354.9</v>
      </c>
      <c r="I24" s="33"/>
      <c r="J24" s="34" t="n">
        <f aca="false">+J8+J10+J12+J14+J16+J18+J20+J22</f>
        <v>747</v>
      </c>
      <c r="K24" s="33"/>
      <c r="L24" s="32" t="n">
        <f aca="false">+L8+L10+L12+L14+L16+L22+L18+L20</f>
        <v>524.8</v>
      </c>
      <c r="N24" s="34" t="n">
        <f aca="false">+N8+N10+N12+N14+N16+N22+N18+N20</f>
        <v>558</v>
      </c>
      <c r="P24" s="32" t="n">
        <f aca="false">+P8+P10+P12+P14+P16+P22+P18+P20</f>
        <v>46</v>
      </c>
      <c r="R24" s="11" t="n">
        <f aca="false">G24-P24</f>
        <v>829</v>
      </c>
      <c r="T24" s="34" t="n">
        <f aca="false">+T8+T10+T12+T14+T16+T22+T18+T20</f>
        <v>229</v>
      </c>
    </row>
    <row r="25" customFormat="false" ht="12.75" hidden="false" customHeight="false" outlineLevel="0" collapsed="false">
      <c r="H25" s="14"/>
      <c r="I25" s="27"/>
      <c r="J25" s="35"/>
      <c r="L25" s="14"/>
      <c r="N25" s="35"/>
      <c r="P25" s="11"/>
      <c r="R25" s="35"/>
      <c r="T25" s="35"/>
    </row>
    <row r="26" customFormat="false" ht="12.75" hidden="false" customHeight="false" outlineLevel="0" collapsed="false">
      <c r="B26" s="0" t="s">
        <v>73</v>
      </c>
      <c r="H26" s="37" t="n">
        <v>14</v>
      </c>
      <c r="I26" s="44"/>
      <c r="J26" s="13" t="n">
        <v>128</v>
      </c>
      <c r="L26" s="14" t="n">
        <v>7.9</v>
      </c>
      <c r="M26" s="0" t="s">
        <v>10</v>
      </c>
      <c r="N26" s="14" t="n">
        <v>122</v>
      </c>
      <c r="P26" s="11" t="n">
        <v>6.8</v>
      </c>
      <c r="R26" s="36" t="n">
        <f aca="false">G26-P26</f>
        <v>-6.8</v>
      </c>
      <c r="T26" s="14" t="n">
        <v>45</v>
      </c>
      <c r="U26" s="0" t="s">
        <v>10</v>
      </c>
      <c r="V26" s="0" t="s">
        <v>10</v>
      </c>
      <c r="W26" s="0" t="s">
        <v>10</v>
      </c>
      <c r="X26" s="0" t="s">
        <v>10</v>
      </c>
    </row>
    <row r="27" customFormat="false" ht="12.75" hidden="false" customHeight="false" outlineLevel="0" collapsed="false">
      <c r="H27" s="14"/>
      <c r="I27" s="27"/>
      <c r="J27" s="14"/>
      <c r="L27" s="14"/>
      <c r="N27" s="14"/>
      <c r="P27" s="11"/>
      <c r="R27" s="36"/>
      <c r="T27" s="14"/>
    </row>
    <row r="28" customFormat="false" ht="12.75" hidden="false" customHeight="false" outlineLevel="0" collapsed="false">
      <c r="B28" s="0" t="s">
        <v>102</v>
      </c>
      <c r="E28" s="0" t="s">
        <v>10</v>
      </c>
      <c r="H28" s="14" t="n">
        <v>5.7</v>
      </c>
      <c r="I28" s="27"/>
      <c r="J28" s="13" t="n">
        <v>30</v>
      </c>
      <c r="L28" s="14" t="n">
        <v>2.5</v>
      </c>
      <c r="M28" s="0" t="s">
        <v>10</v>
      </c>
      <c r="N28" s="14" t="n">
        <f aca="false">28+7</f>
        <v>35</v>
      </c>
      <c r="P28" s="11" t="n">
        <f aca="false">1.1+1</f>
        <v>2.1</v>
      </c>
      <c r="R28" s="36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27"/>
      <c r="J29" s="14"/>
      <c r="L29" s="14" t="s">
        <v>10</v>
      </c>
      <c r="N29" s="14"/>
      <c r="P29" s="11"/>
      <c r="R29" s="36"/>
      <c r="T29" s="14"/>
    </row>
    <row r="30" customFormat="false" ht="12.75" hidden="false" customHeight="false" outlineLevel="0" collapsed="false">
      <c r="B30" s="0" t="s">
        <v>49</v>
      </c>
      <c r="H30" s="14" t="n">
        <v>11.4</v>
      </c>
      <c r="I30" s="27"/>
      <c r="J30" s="15" t="s">
        <v>10</v>
      </c>
      <c r="L30" s="14" t="n">
        <v>9.5</v>
      </c>
      <c r="M30" s="0" t="s">
        <v>10</v>
      </c>
      <c r="N30" s="13"/>
      <c r="P30" s="11" t="n">
        <v>2.2</v>
      </c>
      <c r="R30" s="36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27"/>
      <c r="J31" s="14"/>
      <c r="L31" s="14"/>
      <c r="M31" s="0" t="s">
        <v>10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70</v>
      </c>
      <c r="H32" s="14" t="n">
        <v>11.4</v>
      </c>
      <c r="I32" s="27"/>
      <c r="J32" s="15" t="s">
        <v>10</v>
      </c>
      <c r="L32" s="37" t="n">
        <v>7.3</v>
      </c>
      <c r="N32" s="15"/>
      <c r="P32" s="11" t="n">
        <v>2.3</v>
      </c>
      <c r="R32" s="36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27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103</v>
      </c>
      <c r="H34" s="14" t="n">
        <v>1.2</v>
      </c>
      <c r="I34" s="27"/>
      <c r="J34" s="15" t="n">
        <v>0</v>
      </c>
      <c r="L34" s="14" t="n">
        <v>0.7</v>
      </c>
      <c r="M34" s="0" t="s">
        <v>10</v>
      </c>
      <c r="N34" s="14" t="n">
        <v>26</v>
      </c>
      <c r="P34" s="11" t="n">
        <v>2.2</v>
      </c>
      <c r="R34" s="36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27"/>
      <c r="J35" s="14"/>
      <c r="L35" s="14"/>
      <c r="N35" s="14"/>
      <c r="P35" s="11"/>
      <c r="R35" s="36"/>
      <c r="T35" s="14"/>
    </row>
    <row r="36" customFormat="false" ht="12.75" hidden="true" customHeight="false" outlineLevel="0" collapsed="false">
      <c r="B36" s="0" t="s">
        <v>71</v>
      </c>
      <c r="H36" s="14" t="n">
        <v>1.1</v>
      </c>
      <c r="I36" s="27"/>
      <c r="J36" s="15" t="n">
        <v>0</v>
      </c>
      <c r="L36" s="14" t="n">
        <v>0.7</v>
      </c>
      <c r="N36" s="14" t="n">
        <v>27</v>
      </c>
      <c r="P36" s="11" t="n">
        <v>0</v>
      </c>
      <c r="R36" s="36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27"/>
      <c r="J37" s="14" t="s">
        <v>10</v>
      </c>
      <c r="L37" s="14"/>
      <c r="N37" s="14" t="s">
        <v>10</v>
      </c>
      <c r="P37" s="11"/>
      <c r="R37" s="14"/>
      <c r="T37" s="14" t="s">
        <v>10</v>
      </c>
    </row>
    <row r="38" customFormat="false" ht="12.75" hidden="false" customHeight="false" outlineLevel="0" collapsed="false">
      <c r="B38" s="0" t="s">
        <v>53</v>
      </c>
      <c r="H38" s="14"/>
      <c r="I38" s="27"/>
      <c r="J38" s="15" t="s">
        <v>10</v>
      </c>
      <c r="L38" s="14"/>
      <c r="M38" s="0" t="s">
        <v>10</v>
      </c>
      <c r="N38" s="14"/>
      <c r="P38" s="11"/>
      <c r="R38" s="36"/>
      <c r="T38" s="14"/>
    </row>
    <row r="39" customFormat="false" ht="12.75" hidden="false" customHeight="false" outlineLevel="0" collapsed="false">
      <c r="C39" s="0" t="s">
        <v>56</v>
      </c>
      <c r="H39" s="14" t="n">
        <v>10.2</v>
      </c>
      <c r="I39" s="27"/>
      <c r="J39" s="13" t="s">
        <v>10</v>
      </c>
      <c r="L39" s="37" t="n">
        <v>7.6</v>
      </c>
      <c r="N39" s="11"/>
      <c r="P39" s="11" t="n">
        <f aca="false">(T39/$T$49)*$P$49</f>
        <v>5.35652173913044</v>
      </c>
      <c r="R39" s="36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104</v>
      </c>
      <c r="H40" s="14" t="n">
        <v>8.6</v>
      </c>
      <c r="I40" s="27"/>
      <c r="J40" s="13" t="s">
        <v>10</v>
      </c>
      <c r="L40" s="37" t="n">
        <v>6</v>
      </c>
      <c r="N40" s="11"/>
      <c r="P40" s="11" t="n">
        <f aca="false">(T40/$T$49)*$P$49</f>
        <v>6.52826086956522</v>
      </c>
      <c r="R40" s="36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57</v>
      </c>
      <c r="H41" s="14" t="n">
        <v>5.9</v>
      </c>
      <c r="I41" s="27"/>
      <c r="J41" s="13" t="s">
        <v>10</v>
      </c>
      <c r="L41" s="37" t="n">
        <v>4</v>
      </c>
      <c r="N41" s="11"/>
      <c r="P41" s="11" t="n">
        <f aca="false">(T41/$T$49)*$P$49</f>
        <v>4.85434782608696</v>
      </c>
      <c r="R41" s="36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105</v>
      </c>
      <c r="H42" s="14" t="n">
        <v>3.1</v>
      </c>
      <c r="I42" s="27"/>
      <c r="J42" s="15" t="s">
        <v>10</v>
      </c>
      <c r="L42" s="14" t="n">
        <v>2.7</v>
      </c>
      <c r="N42" s="11"/>
      <c r="P42" s="11" t="n">
        <f aca="false">(T42/$T$49)*$P$49</f>
        <v>1.00434782608696</v>
      </c>
      <c r="R42" s="36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106</v>
      </c>
      <c r="H43" s="14" t="n">
        <v>2.7</v>
      </c>
      <c r="I43" s="27"/>
      <c r="J43" s="15" t="s">
        <v>10</v>
      </c>
      <c r="L43" s="14" t="n">
        <v>2.1</v>
      </c>
      <c r="M43" s="38"/>
      <c r="N43" s="11"/>
      <c r="O43" s="38"/>
      <c r="P43" s="11" t="n">
        <f aca="false">(T43/$T$49)*$P$49</f>
        <v>2.34347826086957</v>
      </c>
      <c r="R43" s="36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107</v>
      </c>
      <c r="H44" s="14" t="n">
        <v>2.7</v>
      </c>
      <c r="I44" s="27"/>
      <c r="J44" s="15" t="s">
        <v>10</v>
      </c>
      <c r="L44" s="14" t="n">
        <v>2.1</v>
      </c>
      <c r="N44" s="11"/>
      <c r="P44" s="11" t="n">
        <f aca="false">(T44/$T$49)*$P$49</f>
        <v>1.84130434782609</v>
      </c>
      <c r="R44" s="36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61</v>
      </c>
      <c r="H45" s="14" t="n">
        <v>2.7</v>
      </c>
      <c r="I45" s="27"/>
      <c r="J45" s="15" t="s">
        <v>10</v>
      </c>
      <c r="L45" s="14" t="n">
        <v>2.5</v>
      </c>
      <c r="N45" s="11"/>
      <c r="P45" s="11" t="n">
        <f aca="false">(T45/$T$49)*$P$49</f>
        <v>1.33913043478261</v>
      </c>
      <c r="R45" s="36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64</v>
      </c>
      <c r="H46" s="29" t="n">
        <v>3.3</v>
      </c>
      <c r="I46" s="27"/>
      <c r="J46" s="39" t="s">
        <v>10</v>
      </c>
      <c r="L46" s="29" t="n">
        <v>2.9</v>
      </c>
      <c r="N46" s="30"/>
      <c r="P46" s="11" t="n">
        <f aca="false">(T46/$T$49)*$P$49</f>
        <v>2.34347826086957</v>
      </c>
      <c r="R46" s="36" t="n">
        <f aca="false">G46-P46</f>
        <v>-2.34347826086957</v>
      </c>
      <c r="T46" s="14" t="n">
        <v>14</v>
      </c>
      <c r="U46" s="40" t="n">
        <v>6</v>
      </c>
      <c r="V46" s="0" t="n">
        <v>0.05</v>
      </c>
    </row>
    <row r="47" customFormat="false" ht="12.75" hidden="false" customHeight="false" outlineLevel="0" collapsed="false">
      <c r="C47" s="0" t="s">
        <v>62</v>
      </c>
      <c r="H47" s="14"/>
      <c r="I47" s="27"/>
      <c r="J47" s="15"/>
      <c r="L47" s="14"/>
      <c r="N47" s="11"/>
      <c r="P47" s="11" t="n">
        <f aca="false">(T47/$T$49)*$P$49</f>
        <v>4.85434782608696</v>
      </c>
      <c r="R47" s="36" t="n">
        <f aca="false">G47-P47</f>
        <v>-4.85434782608696</v>
      </c>
      <c r="T47" s="14" t="n">
        <v>29</v>
      </c>
      <c r="U47" s="27"/>
    </row>
    <row r="48" customFormat="false" ht="12.75" hidden="false" customHeight="false" outlineLevel="0" collapsed="false">
      <c r="C48" s="0" t="s">
        <v>63</v>
      </c>
      <c r="H48" s="14"/>
      <c r="I48" s="27"/>
      <c r="J48" s="15"/>
      <c r="L48" s="14"/>
      <c r="N48" s="11"/>
      <c r="P48" s="30" t="n">
        <f aca="false">(T48/$T$49)*$P$49+0.1</f>
        <v>0.434782608695652</v>
      </c>
      <c r="R48" s="31" t="n">
        <f aca="false">G48-P48+0.06</f>
        <v>-0.374782608695652</v>
      </c>
      <c r="T48" s="29" t="n">
        <v>2</v>
      </c>
      <c r="U48" s="27"/>
    </row>
    <row r="49" customFormat="false" ht="12.75" hidden="false" customHeight="false" outlineLevel="0" collapsed="false">
      <c r="H49" s="41" t="n">
        <f aca="false">SUM(H39:H46)</f>
        <v>39.2</v>
      </c>
      <c r="I49" s="42"/>
      <c r="J49" s="43" t="n">
        <v>452</v>
      </c>
      <c r="L49" s="41" t="n">
        <f aca="false">SUM(L39:L46)</f>
        <v>29.9</v>
      </c>
      <c r="N49" s="43"/>
      <c r="P49" s="41" t="n">
        <v>30.8</v>
      </c>
      <c r="R49" s="36" t="n">
        <f aca="false">SUM(R39:R48)</f>
        <v>-30.84</v>
      </c>
      <c r="T49" s="4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65</v>
      </c>
    </row>
    <row r="50" customFormat="false" ht="12.75" hidden="false" customHeight="false" outlineLevel="0" collapsed="false">
      <c r="H50" s="14"/>
      <c r="I50" s="27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76</v>
      </c>
      <c r="H51" s="14" t="n">
        <v>10.7</v>
      </c>
      <c r="I51" s="27"/>
      <c r="J51" s="13" t="n">
        <v>39</v>
      </c>
      <c r="L51" s="14" t="n">
        <v>4.1</v>
      </c>
      <c r="M51" s="0" t="s">
        <v>10</v>
      </c>
      <c r="N51" s="43" t="n">
        <v>105</v>
      </c>
      <c r="P51" s="11" t="n">
        <v>1.6</v>
      </c>
      <c r="R51" s="36" t="n">
        <f aca="false">G51-P51</f>
        <v>-1.6</v>
      </c>
      <c r="T51" s="43" t="n">
        <v>14</v>
      </c>
    </row>
    <row r="52" customFormat="false" ht="12.75" hidden="false" customHeight="false" outlineLevel="0" collapsed="false">
      <c r="H52" s="14"/>
      <c r="I52" s="27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66</v>
      </c>
      <c r="H53" s="14" t="n">
        <v>27.5</v>
      </c>
      <c r="I53" s="27"/>
      <c r="J53" s="13" t="n">
        <v>175</v>
      </c>
      <c r="L53" s="37" t="n">
        <v>29</v>
      </c>
      <c r="M53" s="0" t="s">
        <v>10</v>
      </c>
      <c r="N53" s="43"/>
      <c r="P53" s="11" t="n">
        <v>36</v>
      </c>
      <c r="R53" s="36" t="n">
        <f aca="false">G53-P53</f>
        <v>-36</v>
      </c>
      <c r="T53" s="43" t="n">
        <v>140</v>
      </c>
      <c r="U53" s="0" t="s">
        <v>10</v>
      </c>
      <c r="V53" s="0" t="s">
        <v>10</v>
      </c>
    </row>
    <row r="54" customFormat="false" ht="12.75" hidden="false" customHeight="false" outlineLevel="0" collapsed="false">
      <c r="B54" s="0" t="s">
        <v>67</v>
      </c>
      <c r="H54" s="14" t="n">
        <v>48.9</v>
      </c>
      <c r="I54" s="27"/>
      <c r="J54" s="15" t="s">
        <v>10</v>
      </c>
      <c r="L54" s="37" t="n">
        <v>55</v>
      </c>
      <c r="N54" s="43"/>
      <c r="P54" s="11" t="n">
        <v>50.1</v>
      </c>
      <c r="R54" s="36" t="n">
        <f aca="false">G54-P54</f>
        <v>-50.1</v>
      </c>
      <c r="T54" s="43" t="n">
        <v>59</v>
      </c>
    </row>
    <row r="55" customFormat="false" ht="12.75" hidden="true" customHeight="false" outlineLevel="0" collapsed="false">
      <c r="B55" s="0" t="s">
        <v>77</v>
      </c>
      <c r="H55" s="14" t="n">
        <v>1.1</v>
      </c>
      <c r="I55" s="27"/>
      <c r="J55" s="15" t="s">
        <v>10</v>
      </c>
      <c r="L55" s="14" t="n">
        <v>7.7</v>
      </c>
      <c r="N55" s="43"/>
      <c r="P55" s="11" t="n">
        <v>0</v>
      </c>
      <c r="R55" s="36" t="n">
        <f aca="false">G55-P55</f>
        <v>0</v>
      </c>
      <c r="T55" s="43" t="n">
        <v>0</v>
      </c>
    </row>
    <row r="56" customFormat="false" ht="12.75" hidden="false" customHeight="false" outlineLevel="0" collapsed="false">
      <c r="B56" s="0" t="s">
        <v>108</v>
      </c>
      <c r="H56" s="14" t="n">
        <v>0.8</v>
      </c>
      <c r="I56" s="27"/>
      <c r="J56" s="15" t="s">
        <v>10</v>
      </c>
      <c r="L56" s="14" t="n">
        <v>5.2</v>
      </c>
      <c r="N56" s="43"/>
      <c r="P56" s="11" t="n">
        <v>5.9</v>
      </c>
      <c r="R56" s="36" t="n">
        <f aca="false">G56-P56</f>
        <v>-5.9</v>
      </c>
      <c r="T56" s="43" t="n">
        <v>39</v>
      </c>
    </row>
    <row r="57" customFormat="false" ht="12.75" hidden="false" customHeight="false" outlineLevel="0" collapsed="false">
      <c r="H57" s="14"/>
      <c r="I57" s="27"/>
      <c r="J57" s="43"/>
      <c r="L57" s="14"/>
      <c r="N57" s="43"/>
      <c r="P57" s="11"/>
      <c r="R57" s="36"/>
      <c r="T57" s="43"/>
    </row>
    <row r="58" customFormat="false" ht="12.75" hidden="false" customHeight="false" outlineLevel="0" collapsed="false">
      <c r="H58" s="14"/>
      <c r="I58" s="27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69</v>
      </c>
      <c r="H59" s="14" t="n">
        <v>2.8</v>
      </c>
      <c r="I59" s="27"/>
      <c r="J59" s="15" t="n">
        <v>0</v>
      </c>
      <c r="L59" s="14" t="n">
        <v>3.5</v>
      </c>
      <c r="M59" s="0" t="s">
        <v>10</v>
      </c>
      <c r="N59" s="43" t="n">
        <v>96</v>
      </c>
      <c r="P59" s="11" t="n">
        <v>4.8</v>
      </c>
      <c r="R59" s="36" t="n">
        <f aca="false">G59-P59</f>
        <v>-4.8</v>
      </c>
      <c r="T59" s="43" t="n">
        <v>33</v>
      </c>
    </row>
    <row r="60" customFormat="false" ht="12.75" hidden="false" customHeight="false" outlineLevel="0" collapsed="false">
      <c r="H60" s="14"/>
      <c r="I60" s="27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78</v>
      </c>
      <c r="H61" s="14" t="n">
        <v>39.3</v>
      </c>
      <c r="I61" s="27"/>
      <c r="J61" s="13" t="n">
        <v>90</v>
      </c>
      <c r="L61" s="14" t="n">
        <v>10.1</v>
      </c>
      <c r="M61" s="0" t="s">
        <v>10</v>
      </c>
      <c r="N61" s="43" t="n">
        <v>116</v>
      </c>
      <c r="P61" s="11" t="n">
        <v>9.5</v>
      </c>
      <c r="R61" s="36" t="n">
        <f aca="false">G61-P61</f>
        <v>-9.5</v>
      </c>
      <c r="T61" s="43" t="n">
        <v>21</v>
      </c>
      <c r="U61" s="0" t="s">
        <v>10</v>
      </c>
      <c r="V61" s="0" t="s">
        <v>10</v>
      </c>
    </row>
    <row r="62" customFormat="false" ht="12.75" hidden="false" customHeight="false" outlineLevel="0" collapsed="false">
      <c r="H62" s="14"/>
      <c r="I62" s="27"/>
      <c r="J62" s="43"/>
      <c r="L62" s="14"/>
      <c r="N62" s="43"/>
      <c r="P62" s="11"/>
      <c r="R62" s="36"/>
      <c r="T62" s="43"/>
      <c r="V62" s="0" t="s">
        <v>10</v>
      </c>
    </row>
    <row r="63" customFormat="false" ht="12.75" hidden="false" customHeight="false" outlineLevel="0" collapsed="false">
      <c r="B63" s="0" t="s">
        <v>79</v>
      </c>
      <c r="H63" s="14"/>
      <c r="I63" s="27"/>
      <c r="J63" s="43"/>
      <c r="L63" s="14"/>
      <c r="M63" s="0" t="s">
        <v>10</v>
      </c>
      <c r="N63" s="43"/>
      <c r="P63" s="11"/>
      <c r="R63" s="36"/>
      <c r="T63" s="43"/>
    </row>
    <row r="64" customFormat="false" ht="12.75" hidden="false" customHeight="false" outlineLevel="0" collapsed="false">
      <c r="C64" s="0" t="s">
        <v>80</v>
      </c>
      <c r="H64" s="37" t="n">
        <f aca="false">15.3+0.7</f>
        <v>16</v>
      </c>
      <c r="I64" s="27"/>
      <c r="J64" s="43"/>
      <c r="L64" s="37" t="n">
        <v>6</v>
      </c>
      <c r="N64" s="43"/>
      <c r="P64" s="11" t="n">
        <v>5</v>
      </c>
      <c r="R64" s="36" t="n">
        <f aca="false">G64-P64</f>
        <v>-5</v>
      </c>
      <c r="T64" s="43"/>
    </row>
    <row r="65" customFormat="false" ht="12.75" hidden="false" customHeight="false" outlineLevel="0" collapsed="false">
      <c r="C65" s="0" t="s">
        <v>81</v>
      </c>
      <c r="H65" s="37" t="n">
        <v>1</v>
      </c>
      <c r="I65" s="44"/>
      <c r="J65" s="43"/>
      <c r="L65" s="14" t="n">
        <v>0.8</v>
      </c>
      <c r="N65" s="43"/>
      <c r="P65" s="11" t="n">
        <v>1</v>
      </c>
      <c r="R65" s="36" t="n">
        <f aca="false">G65-P65</f>
        <v>-1</v>
      </c>
      <c r="T65" s="43"/>
    </row>
    <row r="66" customFormat="false" ht="12.75" hidden="false" customHeight="false" outlineLevel="0" collapsed="false">
      <c r="C66" s="0" t="s">
        <v>65</v>
      </c>
      <c r="H66" s="37" t="n">
        <v>1</v>
      </c>
      <c r="I66" s="44"/>
      <c r="J66" s="43"/>
      <c r="L66" s="37" t="n">
        <v>0.1</v>
      </c>
      <c r="N66" s="43"/>
      <c r="P66" s="11" t="n">
        <v>1</v>
      </c>
      <c r="R66" s="36" t="n">
        <f aca="false">G66-P66</f>
        <v>-1</v>
      </c>
      <c r="T66" s="43"/>
    </row>
    <row r="67" customFormat="false" ht="12.75" hidden="false" customHeight="false" outlineLevel="0" collapsed="false">
      <c r="C67" s="0" t="s">
        <v>20</v>
      </c>
      <c r="H67" s="14" t="n">
        <v>0.4</v>
      </c>
      <c r="I67" s="27"/>
      <c r="J67" s="43"/>
      <c r="L67" s="14" t="n">
        <v>0.1</v>
      </c>
      <c r="N67" s="43"/>
      <c r="P67" s="11" t="n">
        <v>0.6</v>
      </c>
      <c r="R67" s="36" t="n">
        <f aca="false">G67-P67</f>
        <v>-0.6</v>
      </c>
      <c r="T67" s="43"/>
    </row>
    <row r="68" customFormat="false" ht="12.75" hidden="false" customHeight="false" outlineLevel="0" collapsed="false">
      <c r="H68" s="14"/>
      <c r="I68" s="27"/>
      <c r="J68" s="43"/>
      <c r="L68" s="14"/>
      <c r="N68" s="43"/>
      <c r="P68" s="11"/>
      <c r="R68" s="36"/>
      <c r="T68" s="43"/>
    </row>
    <row r="69" customFormat="false" ht="12.75" hidden="true" customHeight="false" outlineLevel="0" collapsed="false">
      <c r="B69" s="0" t="s">
        <v>82</v>
      </c>
      <c r="H69" s="14" t="n">
        <f aca="false">7.3-0.4</f>
        <v>6.9</v>
      </c>
      <c r="I69" s="27"/>
      <c r="J69" s="43"/>
      <c r="L69" s="14" t="n">
        <v>37.4</v>
      </c>
      <c r="N69" s="43"/>
      <c r="P69" s="11" t="n">
        <v>0</v>
      </c>
      <c r="R69" s="36"/>
      <c r="T69" s="43"/>
    </row>
    <row r="70" customFormat="false" ht="12.75" hidden="true" customHeight="false" outlineLevel="0" collapsed="false">
      <c r="H70" s="14"/>
      <c r="I70" s="27"/>
      <c r="J70" s="43"/>
      <c r="L70" s="14"/>
      <c r="N70" s="43"/>
      <c r="P70" s="11"/>
      <c r="R70" s="36"/>
      <c r="T70" s="43"/>
    </row>
    <row r="71" customFormat="false" ht="12.75" hidden="true" customHeight="false" outlineLevel="0" collapsed="false">
      <c r="B71" s="0" t="s">
        <v>83</v>
      </c>
      <c r="H71" s="15" t="n">
        <v>0</v>
      </c>
      <c r="I71" s="27"/>
      <c r="J71" s="43"/>
      <c r="L71" s="14" t="n">
        <v>20.9</v>
      </c>
      <c r="N71" s="43"/>
      <c r="P71" s="11"/>
      <c r="R71" s="36"/>
      <c r="T71" s="43"/>
    </row>
    <row r="72" customFormat="false" ht="12.75" hidden="true" customHeight="false" outlineLevel="0" collapsed="false">
      <c r="H72" s="14"/>
      <c r="I72" s="27"/>
      <c r="J72" s="43"/>
      <c r="L72" s="14"/>
      <c r="N72" s="43"/>
      <c r="P72" s="11"/>
      <c r="R72" s="36"/>
      <c r="T72" s="43"/>
    </row>
    <row r="73" customFormat="false" ht="12.75" hidden="false" customHeight="false" outlineLevel="0" collapsed="false">
      <c r="B73" s="0" t="s">
        <v>84</v>
      </c>
      <c r="H73" s="14" t="n">
        <v>0.1</v>
      </c>
      <c r="I73" s="27"/>
      <c r="J73" s="43" t="n">
        <v>0</v>
      </c>
      <c r="L73" s="37" t="n">
        <v>13.6</v>
      </c>
      <c r="N73" s="43" t="n">
        <f aca="false">29+29+10+37+24</f>
        <v>129</v>
      </c>
      <c r="P73" s="11" t="n">
        <f aca="false">4.3+1.1+1</f>
        <v>6.4</v>
      </c>
      <c r="R73" s="36" t="n">
        <f aca="false">G73-P73</f>
        <v>-6.4</v>
      </c>
      <c r="T73" s="43" t="n">
        <f aca="false">29+6+5</f>
        <v>40</v>
      </c>
    </row>
    <row r="74" customFormat="false" ht="12.75" hidden="false" customHeight="false" outlineLevel="0" collapsed="false">
      <c r="H74" s="14"/>
      <c r="I74" s="27"/>
      <c r="J74" s="43"/>
      <c r="L74" s="14"/>
      <c r="N74" s="43"/>
      <c r="P74" s="11"/>
      <c r="R74" s="36"/>
      <c r="T74" s="43"/>
    </row>
    <row r="75" customFormat="false" ht="12.75" hidden="false" customHeight="false" outlineLevel="0" collapsed="false">
      <c r="H75" s="14"/>
      <c r="I75" s="27"/>
      <c r="J75" s="43"/>
      <c r="L75" s="14"/>
      <c r="N75" s="43"/>
      <c r="P75" s="11"/>
      <c r="R75" s="36"/>
      <c r="T75" s="43"/>
    </row>
    <row r="76" customFormat="false" ht="12.75" hidden="false" customHeight="false" outlineLevel="0" collapsed="false">
      <c r="B76" s="0" t="s">
        <v>85</v>
      </c>
      <c r="H76" s="14"/>
      <c r="I76" s="27"/>
      <c r="J76" s="43"/>
      <c r="L76" s="11"/>
      <c r="N76" s="43"/>
      <c r="P76" s="11" t="n">
        <f aca="false">9+2.4+2</f>
        <v>13.4</v>
      </c>
      <c r="R76" s="36" t="n">
        <f aca="false">G76-P76</f>
        <v>-13.4</v>
      </c>
      <c r="T76" s="43"/>
      <c r="U76" s="0" t="s">
        <v>86</v>
      </c>
    </row>
    <row r="77" customFormat="false" ht="12.75" hidden="false" customHeight="false" outlineLevel="0" collapsed="false">
      <c r="H77" s="14"/>
      <c r="I77" s="27"/>
      <c r="J77" s="43"/>
      <c r="L77" s="14"/>
      <c r="N77" s="43"/>
      <c r="P77" s="11"/>
      <c r="R77" s="36"/>
      <c r="T77" s="43"/>
      <c r="U77" s="0" t="s">
        <v>87</v>
      </c>
    </row>
    <row r="78" customFormat="false" ht="12.75" hidden="false" customHeight="false" outlineLevel="0" collapsed="false">
      <c r="B78" s="0" t="s">
        <v>88</v>
      </c>
      <c r="H78" s="14" t="n">
        <v>130.6</v>
      </c>
      <c r="I78" s="27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27"/>
      <c r="J79" s="29"/>
      <c r="L79" s="14"/>
      <c r="N79" s="29"/>
      <c r="P79" s="11"/>
      <c r="Q79" s="27"/>
      <c r="R79" s="36"/>
      <c r="T79" s="29"/>
    </row>
    <row r="80" customFormat="false" ht="12.75" hidden="false" customHeight="false" outlineLevel="0" collapsed="false">
      <c r="D80" s="17" t="s">
        <v>89</v>
      </c>
      <c r="H80" s="45" t="n">
        <f aca="false">+H26+H28+H30+H32+H34+H36+H49+H51+H53+H54+H55+H56+H59+H61+H64+H65+H66+H67+H73+H76+H69+H78</f>
        <v>371.1</v>
      </c>
      <c r="I80" s="12"/>
      <c r="J80" s="46" t="n">
        <f aca="false">+J26+J28+J49+J51+J53+J61</f>
        <v>914</v>
      </c>
      <c r="L80" s="45" t="n">
        <f aca="false">+L26+L28+L30+L32+L34+L36+L49+L51+L53+L54+L55+L56+L59+L61+L64+L65+L66+L67+L73+L76+L69+L78+L71</f>
        <v>313.2</v>
      </c>
      <c r="N80" s="46" t="n">
        <f aca="false">+N26+N28+N30+N32+N34+N36+N49+N51+N53+N54+N55+N56+N59+N61+N64+N65+N66+N67+N73+N76+N69+N78</f>
        <v>656</v>
      </c>
      <c r="P80" s="45" t="n">
        <f aca="false">+P26+P28+P30+P32+P34+P36+P49+P51+P53+P54+P55+P56+P59+P61+P64+P65+P66+P67+P73+P76+P69+P78</f>
        <v>181.7</v>
      </c>
      <c r="Q80" s="11" t="s">
        <v>10</v>
      </c>
      <c r="R80" s="47" t="n">
        <f aca="false">+R26+R28+R30+R32+R34+R36+R49+R51+R53+R54+R55+R56+R59+R61+R64+R65+R66+R67+R73+R76</f>
        <v>-181.74</v>
      </c>
      <c r="T80" s="46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27"/>
      <c r="G81" s="12"/>
      <c r="H81" s="11"/>
      <c r="I81" s="12"/>
      <c r="J81" s="47"/>
      <c r="K81" s="12"/>
      <c r="L81" s="11"/>
      <c r="N81" s="47"/>
      <c r="P81" s="47"/>
      <c r="R81" s="47"/>
      <c r="T81" s="47"/>
    </row>
    <row r="82" customFormat="false" ht="12.75" hidden="false" customHeight="false" outlineLevel="0" collapsed="false">
      <c r="E82" s="12"/>
      <c r="F82" s="27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7" t="s">
        <v>90</v>
      </c>
      <c r="E83" s="33"/>
      <c r="F83" s="27"/>
      <c r="G83" s="32" t="n">
        <f aca="false">G24</f>
        <v>875</v>
      </c>
      <c r="H83" s="48" t="n">
        <f aca="false">H80+H24</f>
        <v>726</v>
      </c>
      <c r="I83" s="42"/>
      <c r="J83" s="49" t="n">
        <f aca="false">J80+J24</f>
        <v>1661</v>
      </c>
      <c r="K83" s="33"/>
      <c r="L83" s="48" t="n">
        <f aca="false">L80+L24</f>
        <v>838</v>
      </c>
      <c r="N83" s="49" t="n">
        <f aca="false">N80+N24</f>
        <v>1214</v>
      </c>
      <c r="P83" s="48" t="n">
        <f aca="false">P80+P24</f>
        <v>227.7</v>
      </c>
      <c r="R83" s="48" t="n">
        <f aca="false">G83-P83</f>
        <v>647.3</v>
      </c>
      <c r="T83" s="49" t="n">
        <f aca="false">T80+T24</f>
        <v>850</v>
      </c>
    </row>
    <row r="84" customFormat="false" ht="12.75" hidden="false" customHeight="false" outlineLevel="0" collapsed="false">
      <c r="F84" s="27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91</v>
      </c>
      <c r="G85" s="27"/>
      <c r="H85" s="27"/>
      <c r="I85" s="27"/>
      <c r="J85" s="27"/>
      <c r="K85" s="27"/>
      <c r="L85" s="27"/>
      <c r="P85" s="27"/>
      <c r="Q85" s="27"/>
      <c r="R85" s="27"/>
      <c r="S85" s="27"/>
      <c r="T85" s="27"/>
    </row>
    <row r="86" customFormat="false" ht="12.75" hidden="false" customHeight="false" outlineLevel="0" collapsed="false">
      <c r="B86" s="0" t="s">
        <v>92</v>
      </c>
      <c r="G86" s="27"/>
      <c r="H86" s="27"/>
      <c r="I86" s="27"/>
      <c r="J86" s="27"/>
      <c r="K86" s="27"/>
      <c r="L86" s="27"/>
    </row>
    <row r="87" customFormat="false" ht="12.75" hidden="false" customHeight="false" outlineLevel="0" collapsed="false">
      <c r="B87" s="0" t="s">
        <v>93</v>
      </c>
      <c r="G87" s="27"/>
      <c r="H87" s="27"/>
      <c r="I87" s="27"/>
      <c r="J87" s="27"/>
      <c r="K87" s="27"/>
      <c r="L87" s="27"/>
    </row>
    <row r="88" customFormat="false" ht="12.75" hidden="false" customHeight="false" outlineLevel="0" collapsed="false">
      <c r="B88" s="0" t="s">
        <v>94</v>
      </c>
      <c r="G88" s="27"/>
      <c r="H88" s="27"/>
      <c r="I88" s="27"/>
      <c r="J88" s="27"/>
      <c r="K88" s="27"/>
      <c r="L88" s="27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21.28"/>
    <col collapsed="false" customWidth="true" hidden="false" outlineLevel="0" max="15" min="15" style="0" width="16.84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202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(((L28-H10)*1.2)/1.2)*1.1</f>
        <v>1263240</v>
      </c>
      <c r="I8" s="59" t="s">
        <v>120</v>
      </c>
      <c r="J8" s="50" t="n">
        <v>0</v>
      </c>
      <c r="L8" s="60" t="n">
        <f aca="false">L30</f>
        <v>1378080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(((L21+L22)*1.2)/1.2)*1.1</f>
        <v>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(((L30-L28)*1.2)/1.2)*1.1</f>
        <v>252648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7</v>
      </c>
      <c r="L11" s="60" t="n">
        <f aca="false">J11*K11</f>
        <v>337891.26875</v>
      </c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((((E12/$E$29)*$K$11)*1.2)/1.2)*1.1</f>
        <v>47451.047875</v>
      </c>
      <c r="I12" s="59"/>
      <c r="L12" s="60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(((+((3500*5)+(1500*2))*12)*1.2)/1.2)*1.1</f>
        <v>270600</v>
      </c>
      <c r="I13" s="68" t="s">
        <v>129</v>
      </c>
      <c r="J13" s="69"/>
      <c r="K13" s="69"/>
      <c r="L13" s="70" t="n">
        <f aca="false">L8+L11</f>
        <v>1715971.26875</v>
      </c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((((E14/$E$29)*$K$11)*1.2)/1.2)*1.1</f>
        <v>0.0154000000012699</v>
      </c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((((E15/$E$29)*$K$11)*1.2)/1.2)*1.1</f>
        <v>6709.45916666667</v>
      </c>
      <c r="N15" s="82"/>
      <c r="O15" s="82"/>
      <c r="P15" s="82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((((E16/$E$29)*$K$11)*1.2)/1.2)*1.1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/>
      <c r="O16" s="82"/>
      <c r="P16" s="82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((((E17/$E$29)*$K$11)*1.2)/1.2)*1.1</f>
        <v>378.583333333333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2"/>
      <c r="O17" s="82"/>
      <c r="P17" s="82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((((E18/$E$29)*$K$11)*1.2)/1.2)*1.1</f>
        <v>6875.77403333334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16500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((((E20/$E$29)*$K$11)*1.2)/1.2)*1.1</f>
        <v>1.02666666666667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((((E21/$E$29)*$K$11)*1.2)/1.2)*1.1</f>
        <v>8713.12172499999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1873117.0282</v>
      </c>
      <c r="I23" s="50" t="s">
        <v>157</v>
      </c>
      <c r="J23" s="50" t="n">
        <v>110000</v>
      </c>
      <c r="K23" s="50" t="n">
        <f aca="false">2+1</f>
        <v>3</v>
      </c>
      <c r="L23" s="50" t="n">
        <f aca="false">J23*K23</f>
        <v>330000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1+2</f>
        <v>3</v>
      </c>
      <c r="L24" s="50" t="n">
        <f aca="false">J24*K24</f>
        <v>429000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7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7</v>
      </c>
      <c r="L28" s="50" t="n">
        <f aca="false">SUM(L16:L27)*1.2</f>
        <v>1148400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7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1378080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3" min="13" style="0" width="10.28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203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  <c r="N5" s="84" t="s">
        <v>173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N6" s="61" t="s">
        <v>114</v>
      </c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N7" s="62" t="s">
        <v>118</v>
      </c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996435</v>
      </c>
      <c r="I8" s="59" t="s">
        <v>120</v>
      </c>
      <c r="J8" s="50" t="n">
        <v>0</v>
      </c>
      <c r="L8" s="60" t="n">
        <f aca="false">L30</f>
        <v>1449360</v>
      </c>
      <c r="M8" s="99"/>
      <c r="N8" s="65" t="n">
        <f aca="false">H8/2*1.5</f>
        <v>747326.25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N9" s="65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0</v>
      </c>
      <c r="I10" s="59"/>
      <c r="L10" s="60"/>
      <c r="N10" s="65" t="n">
        <v>0</v>
      </c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199287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7</v>
      </c>
      <c r="L11" s="60" t="n">
        <f aca="false">J11*K11</f>
        <v>337891.26875</v>
      </c>
      <c r="N11" s="65" t="n">
        <f aca="false">H11/2*1.5</f>
        <v>149465.25</v>
      </c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71500</v>
      </c>
      <c r="I12" s="59"/>
      <c r="L12" s="60"/>
      <c r="N12" s="65" t="n">
        <v>65000</v>
      </c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275000</v>
      </c>
      <c r="I13" s="68" t="s">
        <v>129</v>
      </c>
      <c r="J13" s="69"/>
      <c r="K13" s="69"/>
      <c r="L13" s="70" t="n">
        <f aca="false">L8+L11</f>
        <v>1787251.26875</v>
      </c>
      <c r="N13" s="65" t="n">
        <v>250000</v>
      </c>
      <c r="P13" s="71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N14" s="65" t="n">
        <v>0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17443.8</v>
      </c>
      <c r="N15" s="65" t="n">
        <f aca="false">20000-4142</f>
        <v>15858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65" t="n"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0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65" t="n">
        <v>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110000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65" t="n">
        <v>100000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33000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N19" s="65" t="n">
        <v>30000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1.1</v>
      </c>
      <c r="I20" s="50" t="s">
        <v>148</v>
      </c>
      <c r="J20" s="50" t="n">
        <v>71500</v>
      </c>
      <c r="K20" s="50" t="n">
        <v>1</v>
      </c>
      <c r="L20" s="50" t="n">
        <f aca="false">J20*K20</f>
        <v>71500</v>
      </c>
      <c r="N20" s="65" t="n">
        <v>1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11000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N21" s="65" t="n">
        <v>10000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N22" s="65" t="n">
        <v>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1713666.9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N23" s="74" t="n">
        <f aca="false">SUM(N8:N22)</f>
        <v>1367650.5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1+1+1</f>
        <v>3</v>
      </c>
      <c r="L24" s="50" t="n">
        <f aca="false">J24*K24</f>
        <v>429000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7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f aca="false">1+1</f>
        <v>2</v>
      </c>
      <c r="L26" s="50" t="n">
        <f aca="false">J26*K26</f>
        <v>396000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7</v>
      </c>
      <c r="L28" s="50" t="n">
        <f aca="false">SUM(L16:L27)*1.2</f>
        <v>1207800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7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1449360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19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P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P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(((+[6]Mexico!H8+'[6]Derivatives &amp; Wellhead'!H8)*1.2)/1.2)*1.1</f>
        <v>0</v>
      </c>
      <c r="I8" s="59" t="s">
        <v>120</v>
      </c>
      <c r="J8" s="50" t="n">
        <v>0</v>
      </c>
      <c r="L8" s="60" t="n">
        <f aca="false">L30</f>
        <v>1956240</v>
      </c>
      <c r="P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 t="n">
        <f aca="false">(((+[6]Mexico!H9+'[6]Derivatives &amp; Wellhead'!H9)*1.2)/1.2)*1.1</f>
        <v>0</v>
      </c>
      <c r="I9" s="59"/>
      <c r="L9" s="60"/>
      <c r="P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f aca="false">(((+[6]Mexico!H10+'[6]Derivatives &amp; Wellhead'!H10)*1.2)/1.2)*1.1</f>
        <v>0</v>
      </c>
      <c r="I10" s="59"/>
      <c r="L10" s="60"/>
      <c r="P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(((+[6]Mexico!H11+'[6]Derivatives &amp; Wellhead'!H11)*1.2)/1.2)*1.1</f>
        <v>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10</v>
      </c>
      <c r="L11" s="60" t="n">
        <f aca="false">J11*K11</f>
        <v>482701.8125</v>
      </c>
      <c r="P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(((+[6]Mexico!H12+'[6]Derivatives &amp; Wellhead'!H12)*1.2)/1.2)*1.1</f>
        <v>0</v>
      </c>
      <c r="I12" s="59"/>
      <c r="L12" s="60"/>
      <c r="P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(((+[6]Mexico!H13+'[6]Derivatives &amp; Wellhead'!H13)*1.2)/1.2)*1.1</f>
        <v>0</v>
      </c>
      <c r="I13" s="68" t="s">
        <v>129</v>
      </c>
      <c r="J13" s="69"/>
      <c r="K13" s="69"/>
      <c r="L13" s="70" t="n">
        <f aca="false">L8+L11</f>
        <v>2438941.8125</v>
      </c>
      <c r="O13" s="71"/>
      <c r="P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(((+[6]Mexico!H14+'[6]Derivatives &amp; Wellhead'!H14)*1.2)/1.2)*1.1</f>
        <v>0</v>
      </c>
      <c r="P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(((+[6]Mexico!H15+'[6]Derivatives &amp; Wellhead'!H15)*1.2)/1.2)*1.1</f>
        <v>0</v>
      </c>
      <c r="P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(((+[6]Mexico!H16+'[6]Derivatives &amp; Wellhead'!H16)*1.2)/1.2)*1.1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P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(((+[6]Mexico!H17+'[6]Derivatives &amp; Wellhead'!H17)*1.2)/1.2)*1.1</f>
        <v>0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P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(((+[6]Mexico!H18+'[6]Derivatives &amp; Wellhead'!H18)*1.2)/1.2)*1.1</f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P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(((+[6]Mexico!H19+'[6]Derivatives &amp; Wellhead'!H19)*1.2)/1.2)*1.1</f>
        <v>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P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(((+[6]Mexico!H20+'[6]Derivatives &amp; Wellhead'!H20)*1.2)/1.2)*1.1</f>
        <v>0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P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(((+[6]Mexico!H21+'[6]Derivatives &amp; Wellhead'!H21)*1.2)/1.2)*1.1</f>
        <v>0</v>
      </c>
      <c r="I21" s="50" t="s">
        <v>151</v>
      </c>
      <c r="J21" s="50" t="n">
        <v>60500</v>
      </c>
      <c r="K21" s="50" t="n">
        <v>1</v>
      </c>
      <c r="L21" s="50" t="n">
        <f aca="false">J21*K21</f>
        <v>60500</v>
      </c>
      <c r="O21" s="27"/>
      <c r="P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f aca="false">(((+[6]Mexico!H22+'[6]Derivatives &amp; Wellhead'!H22)*1.2)/1.2)*1.1</f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27"/>
      <c r="P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0</v>
      </c>
      <c r="I23" s="50" t="s">
        <v>157</v>
      </c>
      <c r="J23" s="50" t="n">
        <v>110000</v>
      </c>
      <c r="K23" s="50" t="n">
        <f aca="false">2+1</f>
        <v>3</v>
      </c>
      <c r="L23" s="50" t="n">
        <f aca="false">J23*K23</f>
        <v>330000</v>
      </c>
      <c r="O23" s="27"/>
      <c r="P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2+1+1</f>
        <v>4</v>
      </c>
      <c r="L24" s="50" t="n">
        <f aca="false">J24*K24</f>
        <v>572000</v>
      </c>
      <c r="O24" s="27"/>
      <c r="P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+[6]Mexico!H25+'[6]Derivatives &amp; Wellhead'!H25</f>
        <v>11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27"/>
      <c r="P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O26" s="27"/>
      <c r="P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+[6]Mexico!H27+'[6]Derivatives &amp; Wellhead'!H27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27"/>
      <c r="P27" s="65"/>
    </row>
    <row r="28" customFormat="false" ht="12.75" hidden="false" customHeight="false" outlineLevel="0" collapsed="false">
      <c r="K28" s="50" t="n">
        <f aca="false">SUM(K16:K27)</f>
        <v>10</v>
      </c>
      <c r="L28" s="50" t="n">
        <f aca="false">SUM(L16:L27)*1.2</f>
        <v>1630200</v>
      </c>
      <c r="O28" s="27"/>
      <c r="P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12</v>
      </c>
      <c r="L29" s="78" t="n">
        <v>0.2</v>
      </c>
      <c r="O29" s="27"/>
      <c r="P29" s="65"/>
    </row>
    <row r="30" customFormat="false" ht="12.75" hidden="true" customHeight="false" outlineLevel="0" collapsed="false">
      <c r="L30" s="50" t="n">
        <f aca="false">L28*1.2</f>
        <v>1956240</v>
      </c>
      <c r="O30" s="27"/>
      <c r="P30" s="27"/>
    </row>
    <row r="31" customFormat="false" ht="12.75" hidden="true" customHeight="false" outlineLevel="0" collapsed="false">
      <c r="H31" s="17" t="s">
        <v>164</v>
      </c>
      <c r="L31" s="0"/>
      <c r="O31" s="27"/>
      <c r="P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  <c r="P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  <c r="P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7"/>
      <c r="P34" s="27"/>
    </row>
    <row r="35" customFormat="false" ht="12.75" hidden="true" customHeight="false" outlineLevel="0" collapsed="false">
      <c r="O35" s="27"/>
      <c r="P35" s="27"/>
    </row>
    <row r="36" customFormat="false" ht="12.75" hidden="true" customHeight="false" outlineLevel="0" collapsed="false">
      <c r="O36" s="27"/>
      <c r="P36" s="27"/>
    </row>
    <row r="37" customFormat="false" ht="12.75" hidden="true" customHeight="false" outlineLevel="0" collapsed="false">
      <c r="O37" s="27"/>
      <c r="P37" s="27"/>
    </row>
    <row r="38" customFormat="false" ht="12.75" hidden="true" customHeight="false" outlineLevel="0" collapsed="false">
      <c r="O38" s="27"/>
      <c r="P38" s="27"/>
    </row>
    <row r="39" customFormat="false" ht="12.75" hidden="false" customHeight="false" outlineLevel="0" collapsed="false">
      <c r="O39" s="27"/>
      <c r="P39" s="27"/>
    </row>
    <row r="42" customFormat="false" ht="12.75" hidden="false" customHeight="false" outlineLevel="0" collapsed="false">
      <c r="B42" s="82"/>
      <c r="C42" s="82"/>
      <c r="D42" s="82"/>
    </row>
    <row r="43" customFormat="false" ht="12.75" hidden="false" customHeight="false" outlineLevel="0" collapsed="false">
      <c r="B43" s="82"/>
      <c r="C43" s="82"/>
      <c r="D43" s="82"/>
    </row>
    <row r="44" customFormat="false" ht="12.75" hidden="false" customHeight="false" outlineLevel="0" collapsed="false">
      <c r="B44" s="82"/>
      <c r="C44" s="82"/>
      <c r="D44" s="82"/>
    </row>
    <row r="45" customFormat="false" ht="12.75" hidden="false" customHeight="false" outlineLevel="0" collapsed="false">
      <c r="B45" s="82"/>
      <c r="C45" s="82"/>
      <c r="D45" s="82"/>
    </row>
    <row r="46" customFormat="false" ht="12.75" hidden="false" customHeight="false" outlineLevel="0" collapsed="false">
      <c r="B46" s="82"/>
      <c r="C46" s="82"/>
      <c r="D46" s="82"/>
    </row>
    <row r="47" customFormat="false" ht="12.75" hidden="false" customHeight="false" outlineLevel="0" collapsed="false">
      <c r="B47" s="82"/>
      <c r="C47" s="82"/>
      <c r="D47" s="82"/>
    </row>
    <row r="48" customFormat="false" ht="12.75" hidden="false" customHeight="false" outlineLevel="0" collapsed="false">
      <c r="B48" s="82"/>
      <c r="C48" s="82"/>
      <c r="D48" s="82"/>
    </row>
    <row r="49" customFormat="false" ht="12.75" hidden="false" customHeight="false" outlineLevel="0" collapsed="false">
      <c r="B49" s="82"/>
      <c r="C49" s="82"/>
      <c r="D49" s="82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4" min="14" style="0" width="13.99"/>
    <col collapsed="false" customWidth="true" hidden="false" outlineLevel="0" max="15" min="15" style="0" width="13.85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(((L28-H10)*1.2)/1.2)*1.1</f>
        <v>343761</v>
      </c>
      <c r="I8" s="59" t="s">
        <v>120</v>
      </c>
      <c r="J8" s="50" t="n">
        <v>0</v>
      </c>
      <c r="L8" s="60" t="n">
        <f aca="false">L30</f>
        <v>492624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(((L21+L22)*1.2)/1.2)*1.1</f>
        <v>98010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(((L30-L28)*1.2)/1.2)*1.1</f>
        <v>90314.4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3</v>
      </c>
      <c r="L11" s="60" t="n">
        <f aca="false">J11*K11</f>
        <v>144810.54375</v>
      </c>
      <c r="N11" s="82"/>
      <c r="O11" s="82"/>
      <c r="P11" s="82"/>
      <c r="Q11" s="82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((((E12/$E$29)*$K$11)*1.2)/1.2)*1.1</f>
        <v>20336.163375</v>
      </c>
      <c r="I12" s="59"/>
      <c r="L12" s="60"/>
      <c r="N12" s="82"/>
      <c r="O12" s="82"/>
      <c r="P12" s="82"/>
      <c r="Q12" s="82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((((E13/$E$29)*$K$11)*1.2)/1.2)*1.1</f>
        <v>18100.357825</v>
      </c>
      <c r="I13" s="68" t="s">
        <v>129</v>
      </c>
      <c r="J13" s="69"/>
      <c r="K13" s="69"/>
      <c r="L13" s="70" t="n">
        <f aca="false">L8+L11</f>
        <v>637434.54375</v>
      </c>
      <c r="N13" s="82"/>
      <c r="O13" s="82"/>
      <c r="P13" s="82"/>
      <c r="Q13" s="82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((((E14/$E$29)*$K$11)*1.2)/1.2)*1.1</f>
        <v>0.00660000000054424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((((E15/$E$29)*$K$11)*1.2)/1.2)*1.1</f>
        <v>2875.4825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((((E16/$E$29)*$K$11)*1.2)/1.2)*1.1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((((E17/$E$29)*$K$11)*1.2)/1.2)*1.1</f>
        <v>162.25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((((E18/$E$29)*$K$11)*1.2)/1.2)*1.1</f>
        <v>2946.7603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((((E19/$E$29)*$K$11)*1.2)/1.2)*1.1</f>
        <v>3003.2838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((((E20/$E$29)*$K$11)*1.2)/1.2)*1.1</f>
        <v>0.44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((((E21/$E$29)*$K$11)*1.2)/1.2)*1.1</f>
        <v>3734.195025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583244.339425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1</v>
      </c>
      <c r="L24" s="50" t="n">
        <f aca="false">J24*K24</f>
        <v>143000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2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3</v>
      </c>
      <c r="L28" s="50" t="n">
        <f aca="false">SUM(L16:L27)*1.2</f>
        <v>410520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3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492624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3</v>
      </c>
      <c r="L34" s="80" t="n">
        <f aca="false">+J34*K34</f>
        <v>144810.54375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204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842160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918720</v>
      </c>
      <c r="O8" s="65" t="n">
        <f aca="false">+F8/$F$29*$O$29</f>
        <v>168432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168432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5</v>
      </c>
      <c r="M11" s="92" t="n">
        <f aca="false">K11*L11</f>
        <v>158380.909503546</v>
      </c>
      <c r="O11" s="65" t="n">
        <f aca="false">+F11/$F$29*$O$29</f>
        <v>33686.4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(((E12/$E$29*$L$11-8329.76)*1.2)/1.2)*1.1</f>
        <v>25566.5076879433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5113.30153758865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(((E13/$E$29*$L$11-26933.92)*1.2)/1.2)*1.1</f>
        <v>33680.6001134752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1077100.90950355</v>
      </c>
      <c r="O13" s="65" t="n">
        <f aca="false">+F13/$F$29*$O$29</f>
        <v>6736.12002269504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(((80000)*1.2)/1.2)*1.1</f>
        <v>88000</v>
      </c>
      <c r="H14" s="91" t="n">
        <f aca="false">E14/$E$23</f>
        <v>2.98539034593965E-008</v>
      </c>
      <c r="N14" s="71"/>
      <c r="O14" s="65" t="n">
        <f aca="false">+F14/$F$29*$O$29</f>
        <v>17600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5818.43080851064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1</v>
      </c>
      <c r="M16" s="50" t="n">
        <f aca="false">K16*L16</f>
        <v>33600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330.780141843972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17.9301560283686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30403.6380141844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39531.8780141844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74.2844822695036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0</v>
      </c>
      <c r="M22" s="50" t="n">
        <f aca="false">K22*L22</f>
        <v>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1234016.04941844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0</v>
      </c>
      <c r="M23" s="50" t="n">
        <f aca="false">K23*L23</f>
        <v>0</v>
      </c>
      <c r="O23" s="96" t="n">
        <f aca="false">SUM(O8:O22)</f>
        <v>246803.209883688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2</v>
      </c>
      <c r="M24" s="50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5</v>
      </c>
      <c r="J25" s="0" t="s">
        <v>159</v>
      </c>
      <c r="K25" s="50" t="n">
        <v>180000</v>
      </c>
      <c r="L25" s="0" t="n">
        <v>1</v>
      </c>
      <c r="M25" s="50" t="n">
        <f aca="false">K25*L25</f>
        <v>180000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162</v>
      </c>
      <c r="K27" s="50" t="n">
        <v>240000</v>
      </c>
      <c r="L27" s="0" t="n">
        <v>1</v>
      </c>
      <c r="M27" s="50" t="n">
        <f aca="false">K27*L27</f>
        <v>240000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5</v>
      </c>
      <c r="M28" s="50" t="n">
        <f aca="false">SUM(M16:M27)</f>
        <v>765600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5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5</v>
      </c>
      <c r="M34" s="80" t="n">
        <f aca="false">+K34*L34</f>
        <v>158380.909503546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8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205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693000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1068480</v>
      </c>
      <c r="O8" s="65" t="n">
        <f aca="false">+F8/$F$29*$O$29</f>
        <v>86625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286440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35805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195888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8</v>
      </c>
      <c r="M11" s="92" t="n">
        <f aca="false">K11*L11</f>
        <v>253409.455205674</v>
      </c>
      <c r="O11" s="65" t="n">
        <f aca="false">+F11/$F$29*$O$29</f>
        <v>24486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(((E12/$E$29*$L$11-8329.76)*1.2)/1.2)*1.1</f>
        <v>46404.0539007092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5800.50673758865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(((E13/$E$29*$L$11-26933.92)*1.2)/1.2)*1.1</f>
        <v>71665.3473815603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1321889.45520567</v>
      </c>
      <c r="O13" s="65" t="n">
        <f aca="false">+F13/$F$29*$O$29</f>
        <v>8958.16842269504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(((80000)*1.2)/1.2)*1.1</f>
        <v>88000</v>
      </c>
      <c r="H14" s="91" t="n">
        <f aca="false">E14/$E$23</f>
        <v>2.98539034593965E-008</v>
      </c>
      <c r="N14" s="71"/>
      <c r="O14" s="65" t="n">
        <f aca="false">+F14/$F$29*$O$29</f>
        <v>11000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9309.48929361702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529.248226950355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28.6882496453897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48645.820822695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1</v>
      </c>
      <c r="M20" s="50" t="n">
        <f aca="false">K20*L20</f>
        <v>78000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63251.004822695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1</v>
      </c>
      <c r="M21" s="50" t="n">
        <f aca="false">K21*L21</f>
        <v>66000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118.855171631206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2</v>
      </c>
      <c r="M22" s="50" t="n">
        <f aca="false">K22*L22</f>
        <v>194400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1503280.5078695</v>
      </c>
      <c r="H23" s="97" t="n">
        <f aca="false">SUM(H8:H22)</f>
        <v>1</v>
      </c>
      <c r="J23" s="0" t="s">
        <v>157</v>
      </c>
      <c r="K23" s="50" t="n">
        <v>120000</v>
      </c>
      <c r="L23" s="0" t="n">
        <v>2</v>
      </c>
      <c r="M23" s="50" t="n">
        <f aca="false">K23*L23</f>
        <v>240000</v>
      </c>
      <c r="O23" s="96" t="n">
        <f aca="false">SUM(O8:O22)</f>
        <v>187910.063483688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2</v>
      </c>
      <c r="M24" s="50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5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3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8</v>
      </c>
      <c r="M28" s="50" t="n">
        <f aca="false">SUM(M16:M27)</f>
        <v>890400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8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8</v>
      </c>
      <c r="M34" s="80" t="n">
        <f aca="false">+K34*L34</f>
        <v>253409.455205674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0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25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1023000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1778400</v>
      </c>
      <c r="O8" s="65" t="n">
        <f aca="false">+F8/$F$29*$O$29</f>
        <v>78692.3076923077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607200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46707.6923076923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326040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13</v>
      </c>
      <c r="M11" s="92" t="n">
        <f aca="false">K11*L11</f>
        <v>411790.36470922</v>
      </c>
      <c r="O11" s="65" t="n">
        <f aca="false">+F11/$F$29*$O$29</f>
        <v>25080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(((E12/$E$29*$L$11-11974.03)*1.2)/1.2)*1.1</f>
        <v>77124.6005886525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5932.6615837425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(((E13/$E$29*$L$11-38717.51)*1.2)/1.2)*1.1</f>
        <v>122011.310495035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2190190.36470922</v>
      </c>
      <c r="O13" s="65" t="n">
        <f aca="false">+F13/$F$29*$O$29</f>
        <v>9385.48542269504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v>126500</v>
      </c>
      <c r="H14" s="91" t="n">
        <f aca="false">E14/$E$23</f>
        <v>2.98539034593965E-008</v>
      </c>
      <c r="N14" s="71"/>
      <c r="O14" s="65" t="n">
        <f aca="false">+F14/$F$29*$O$29</f>
        <v>9730.76923076923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15127.9201021277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860.028368794326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46.6184056737583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79049.4588368794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1</v>
      </c>
      <c r="M20" s="50" t="n">
        <f aca="false">K20*L20</f>
        <v>78000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102782.882836879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1</v>
      </c>
      <c r="M21" s="50" t="n">
        <f aca="false">K21*L21</f>
        <v>66000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193.139653900709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5</v>
      </c>
      <c r="M22" s="50" t="n">
        <f aca="false">K22*L22</f>
        <v>486000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2479935.95928794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4</v>
      </c>
      <c r="M23" s="50" t="n">
        <f aca="false">K23*L23</f>
        <v>480000</v>
      </c>
      <c r="O23" s="96" t="n">
        <f aca="false">SUM(O8:O22)</f>
        <v>190764.304560611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1</v>
      </c>
      <c r="M24" s="50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7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6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13</v>
      </c>
      <c r="M28" s="50" t="n">
        <f aca="false">SUM(M16:M27)</f>
        <v>1482000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13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13</v>
      </c>
      <c r="M34" s="80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206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541200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944640</v>
      </c>
      <c r="O8" s="65" t="n">
        <f aca="false">+F8/$F$29*$O$29</f>
        <v>67650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324720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40590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173184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8</v>
      </c>
      <c r="M11" s="92" t="n">
        <f aca="false">K11*L11</f>
        <v>253409.455205674</v>
      </c>
      <c r="O11" s="65" t="n">
        <f aca="false">+F11/$F$29*$O$29</f>
        <v>21648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(((E12/$E$29*$L$11-6767.93)*1.2)/1.2)*1.1</f>
        <v>48122.0669007092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6015.25836258865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(((E13/$E$29*$L$11-21883.81)*1.2)/1.2)*1.1</f>
        <v>77220.4683815603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1198049.45520567</v>
      </c>
      <c r="O13" s="65" t="n">
        <f aca="false">+F13/$F$29*$O$29</f>
        <v>9652.55854769504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v>71500</v>
      </c>
      <c r="H14" s="91" t="n">
        <f aca="false">E14/$E$23</f>
        <v>2.98539034593965E-008</v>
      </c>
      <c r="N14" s="71"/>
      <c r="O14" s="65" t="n">
        <f aca="false">+F14/$F$29*$O$29</f>
        <v>8937.5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9309.48929361702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529.248226950355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28.6882496453897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48645.820822695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2</v>
      </c>
      <c r="M20" s="50" t="n">
        <f aca="false">K20*L20</f>
        <v>156000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63251.004822695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3</v>
      </c>
      <c r="M21" s="50" t="n">
        <f aca="false">K21*L21</f>
        <v>198000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118.855171631206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1</v>
      </c>
      <c r="M22" s="50" t="n">
        <f aca="false">K22*L22</f>
        <v>97200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1357829.6418695</v>
      </c>
      <c r="H23" s="97" t="n">
        <f aca="false">SUM(H8:H22)</f>
        <v>1</v>
      </c>
      <c r="J23" s="0" t="s">
        <v>157</v>
      </c>
      <c r="K23" s="50" t="n">
        <v>120000</v>
      </c>
      <c r="L23" s="0" t="n">
        <v>1</v>
      </c>
      <c r="M23" s="50" t="n">
        <f aca="false">K23*L23</f>
        <v>120000</v>
      </c>
      <c r="O23" s="96" t="n">
        <f aca="false">SUM(O8:O22)</f>
        <v>169728.705233688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0</v>
      </c>
      <c r="M24" s="50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4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8</v>
      </c>
      <c r="M28" s="50" t="n">
        <f aca="false">SUM(M16:M27)</f>
        <v>787200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8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8</v>
      </c>
      <c r="M34" s="80" t="n">
        <f aca="false">+K34*L34</f>
        <v>253409.455205674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0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27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772200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1154880</v>
      </c>
      <c r="O8" s="65" t="n">
        <f aca="false">+F8/$F$29*$O$29</f>
        <v>85800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286440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31826.6666666667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211728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9</v>
      </c>
      <c r="M11" s="92" t="n">
        <f aca="false">K11*L11</f>
        <v>285085.637106383</v>
      </c>
      <c r="O11" s="65" t="n">
        <f aca="false">+F11/$F$29*$O$29</f>
        <v>23525.3333333333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(((E12/$E$29*$L$11-9891.59)*1.2)/1.2)*1.1</f>
        <v>51631.8896382979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5736.87662647754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(((E13/$E$29*$L$11-31984.03)*1.2)/1.2)*1.1</f>
        <v>78771.8088042553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1439965.63710638</v>
      </c>
      <c r="O13" s="65" t="n">
        <f aca="false">+F13/$F$29*$O$29</f>
        <v>8752.42320047282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v>104500</v>
      </c>
      <c r="H14" s="91" t="n">
        <f aca="false">E14/$E$23</f>
        <v>2.98539034593965E-008</v>
      </c>
      <c r="N14" s="71"/>
      <c r="O14" s="65" t="n">
        <f aca="false">+F14/$F$29*$O$29</f>
        <v>11611.1111111111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10473.1754553192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595.404255319149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32.2742808510634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1</v>
      </c>
      <c r="M18" s="50" t="n">
        <f aca="false">K18*L18</f>
        <v>54000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54726.5484255319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2</v>
      </c>
      <c r="M20" s="50" t="n">
        <f aca="false">K20*L20</f>
        <v>156000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71157.3804255319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1</v>
      </c>
      <c r="M21" s="50" t="n">
        <f aca="false">K21*L21</f>
        <v>66000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133.712068085106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2</v>
      </c>
      <c r="M22" s="50" t="n">
        <f aca="false">K22*L22</f>
        <v>194400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1642390.19335319</v>
      </c>
      <c r="H23" s="97" t="n">
        <f aca="false">SUM(H8:H22)</f>
        <v>1</v>
      </c>
      <c r="J23" s="0" t="s">
        <v>157</v>
      </c>
      <c r="K23" s="50" t="n">
        <v>120000</v>
      </c>
      <c r="L23" s="0" t="n">
        <v>1</v>
      </c>
      <c r="M23" s="50" t="n">
        <f aca="false">K23*L23</f>
        <v>120000</v>
      </c>
      <c r="O23" s="96" t="n">
        <f aca="false">SUM(O8:O22)</f>
        <v>182487.799261466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1</v>
      </c>
      <c r="M24" s="50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6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3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9</v>
      </c>
      <c r="M28" s="50" t="n">
        <f aca="false">SUM(M16:M27)</f>
        <v>962400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9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9</v>
      </c>
      <c r="M34" s="80" t="n">
        <f aca="false">+K34*L34</f>
        <v>285085.637106383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2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28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(((M16+M17+M18+M19+M20+M23+M24+M26+M27+M25)*1.2)/1.2)*1.1</f>
        <v>633600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807840</v>
      </c>
      <c r="O8" s="65" t="n">
        <f aca="false">+F8/$F$29*$O$29</f>
        <v>126720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106920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21384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148104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5</v>
      </c>
      <c r="M11" s="92" t="n">
        <f aca="false">K11*L11</f>
        <v>158380.909503546</v>
      </c>
      <c r="O11" s="65" t="n">
        <f aca="false">+F11/$F$29*$O$29</f>
        <v>29620.8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(((E12/$E$29*$L$11-6767.93)*1.2)/1.2)*1.1</f>
        <v>27284.5206879433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5456.90413758865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(((E13/$E$29*$L$11-21883.81)*1.2)/1.2)*1.1</f>
        <v>39235.7211134752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966220.909503546</v>
      </c>
      <c r="O13" s="65" t="n">
        <f aca="false">+F13/$F$29*$O$29</f>
        <v>7847.14422269504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v>71500</v>
      </c>
      <c r="H14" s="91" t="n">
        <f aca="false">E14/$E$23</f>
        <v>2.98539034593965E-008</v>
      </c>
      <c r="N14" s="71"/>
      <c r="O14" s="65" t="n">
        <f aca="false">+F14/$F$29*$O$29</f>
        <v>14300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5818.43080851064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330.780141843972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17.9301560283686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30403.6380141844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v>0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39531.8780141844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74.2844822695036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1</v>
      </c>
      <c r="M22" s="50" t="n">
        <f aca="false">K22*L22</f>
        <v>97200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1102821.18341844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3</v>
      </c>
      <c r="M23" s="50" t="n">
        <f aca="false">K23*L23</f>
        <v>360000</v>
      </c>
      <c r="O23" s="96" t="n">
        <f aca="false">SUM(O8:O22)</f>
        <v>220564.236683688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0</v>
      </c>
      <c r="M24" s="50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1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5</v>
      </c>
      <c r="M28" s="50" t="n">
        <f aca="false">SUM(M16:M27)</f>
        <v>673200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5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5</v>
      </c>
      <c r="M34" s="80" t="n">
        <f aca="false">+K34*L34</f>
        <v>158380.909503546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1.13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8.14"/>
    <col collapsed="false" customWidth="false" hidden="true" outlineLevel="0" max="13" min="13" style="0" width="9.06"/>
    <col collapsed="false" customWidth="true" hidden="false" outlineLevel="0" max="14" min="14" style="0" width="9.7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19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P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P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1222275</v>
      </c>
      <c r="I8" s="59" t="s">
        <v>120</v>
      </c>
      <c r="J8" s="50" t="n">
        <v>0</v>
      </c>
      <c r="L8" s="60" t="n">
        <f aca="false">L30</f>
        <v>1956240</v>
      </c>
      <c r="P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P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0</v>
      </c>
      <c r="I10" s="59"/>
      <c r="L10" s="60"/>
      <c r="P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+H8*0.2+6345</f>
        <v>250800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10</v>
      </c>
      <c r="L11" s="60" t="n">
        <f aca="false">J11*K11</f>
        <v>482701.8125</v>
      </c>
      <c r="P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67500</v>
      </c>
      <c r="I12" s="59"/>
      <c r="L12" s="60"/>
      <c r="P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225000</v>
      </c>
      <c r="I13" s="68" t="s">
        <v>129</v>
      </c>
      <c r="J13" s="69"/>
      <c r="K13" s="69"/>
      <c r="L13" s="70" t="n">
        <f aca="false">L8+L11</f>
        <v>2438941.8125</v>
      </c>
      <c r="O13" s="71"/>
      <c r="P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P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45000</v>
      </c>
      <c r="P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P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531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P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67500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P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90000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P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1.8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P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13500</v>
      </c>
      <c r="I21" s="50" t="s">
        <v>151</v>
      </c>
      <c r="J21" s="50" t="n">
        <v>60500</v>
      </c>
      <c r="K21" s="50" t="n">
        <v>1</v>
      </c>
      <c r="L21" s="50" t="n">
        <f aca="false">J21*K21</f>
        <v>60500</v>
      </c>
      <c r="O21" s="27"/>
      <c r="P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27"/>
      <c r="P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1982107.8</v>
      </c>
      <c r="I23" s="50" t="s">
        <v>157</v>
      </c>
      <c r="J23" s="50" t="n">
        <v>110000</v>
      </c>
      <c r="K23" s="50" t="n">
        <f aca="false">2+1</f>
        <v>3</v>
      </c>
      <c r="L23" s="50" t="n">
        <f aca="false">J23*K23</f>
        <v>330000</v>
      </c>
      <c r="O23" s="27"/>
      <c r="P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2+1+1</f>
        <v>4</v>
      </c>
      <c r="L24" s="50" t="n">
        <f aca="false">J24*K24</f>
        <v>572000</v>
      </c>
      <c r="O24" s="27"/>
      <c r="P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v>9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27"/>
      <c r="P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O26" s="27"/>
      <c r="P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27"/>
      <c r="P27" s="65"/>
    </row>
    <row r="28" customFormat="false" ht="12.75" hidden="false" customHeight="false" outlineLevel="0" collapsed="false">
      <c r="K28" s="50" t="n">
        <f aca="false">SUM(K16:K27)</f>
        <v>10</v>
      </c>
      <c r="L28" s="50" t="n">
        <f aca="false">SUM(L16:L27)*1.2</f>
        <v>1630200</v>
      </c>
      <c r="O28" s="27"/>
      <c r="P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9</v>
      </c>
      <c r="L29" s="78" t="n">
        <v>0.2</v>
      </c>
      <c r="O29" s="27"/>
      <c r="P29" s="65"/>
    </row>
    <row r="30" customFormat="false" ht="12.75" hidden="true" customHeight="false" outlineLevel="0" collapsed="false">
      <c r="L30" s="50" t="n">
        <f aca="false">L28*1.2</f>
        <v>1956240</v>
      </c>
      <c r="O30" s="27"/>
      <c r="P30" s="27"/>
    </row>
    <row r="31" customFormat="false" ht="12.75" hidden="true" customHeight="false" outlineLevel="0" collapsed="false">
      <c r="H31" s="17" t="s">
        <v>164</v>
      </c>
      <c r="L31" s="0"/>
      <c r="O31" s="27"/>
      <c r="P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  <c r="P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  <c r="P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7"/>
      <c r="P34" s="27"/>
    </row>
    <row r="35" customFormat="false" ht="12.75" hidden="true" customHeight="false" outlineLevel="0" collapsed="false">
      <c r="O35" s="27"/>
      <c r="P35" s="27"/>
    </row>
    <row r="36" customFormat="false" ht="12.75" hidden="true" customHeight="false" outlineLevel="0" collapsed="false">
      <c r="O36" s="27"/>
      <c r="P36" s="27"/>
    </row>
    <row r="37" customFormat="false" ht="12.75" hidden="true" customHeight="false" outlineLevel="0" collapsed="false">
      <c r="O37" s="27"/>
      <c r="P37" s="27"/>
    </row>
    <row r="38" customFormat="false" ht="12.75" hidden="true" customHeight="false" outlineLevel="0" collapsed="false">
      <c r="O38" s="27"/>
      <c r="P38" s="27"/>
    </row>
    <row r="39" customFormat="false" ht="12.75" hidden="false" customHeight="false" outlineLevel="0" collapsed="false">
      <c r="O39" s="27"/>
      <c r="P39" s="27"/>
    </row>
    <row r="42" customFormat="false" ht="12.75" hidden="false" customHeight="false" outlineLevel="0" collapsed="false">
      <c r="B42" s="82"/>
      <c r="C42" s="82"/>
      <c r="D42" s="82"/>
    </row>
    <row r="43" customFormat="false" ht="12.75" hidden="false" customHeight="false" outlineLevel="0" collapsed="false">
      <c r="B43" s="82"/>
      <c r="C43" s="82"/>
      <c r="D43" s="82"/>
    </row>
    <row r="44" customFormat="false" ht="12.75" hidden="false" customHeight="false" outlineLevel="0" collapsed="false">
      <c r="B44" s="82"/>
      <c r="C44" s="82"/>
      <c r="D44" s="82"/>
    </row>
    <row r="45" customFormat="false" ht="12.75" hidden="false" customHeight="false" outlineLevel="0" collapsed="false">
      <c r="B45" s="82"/>
      <c r="C45" s="82"/>
      <c r="D45" s="82"/>
    </row>
    <row r="46" customFormat="false" ht="12.75" hidden="false" customHeight="false" outlineLevel="0" collapsed="false">
      <c r="B46" s="82"/>
      <c r="C46" s="82"/>
      <c r="D46" s="82"/>
    </row>
    <row r="47" customFormat="false" ht="12.75" hidden="false" customHeight="false" outlineLevel="0" collapsed="false">
      <c r="B47" s="82"/>
      <c r="C47" s="82"/>
      <c r="D47" s="82"/>
    </row>
    <row r="48" customFormat="false" ht="12.75" hidden="false" customHeight="false" outlineLevel="0" collapsed="false">
      <c r="B48" s="82"/>
      <c r="C48" s="82"/>
      <c r="D48" s="82"/>
    </row>
    <row r="49" customFormat="false" ht="12.75" hidden="false" customHeight="false" outlineLevel="0" collapsed="false">
      <c r="B49" s="82"/>
      <c r="C49" s="82"/>
      <c r="D49" s="82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Q16" activeCellId="0" sqref="AQ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2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207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(M16+M17+M18+M19+M20+M23+M24+M26+M27)*1.2</f>
        <v>2711520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2828160</v>
      </c>
      <c r="O8" s="65" t="n">
        <f aca="false">+F8/$F$29*$O$29</f>
        <v>159501.176470588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(M21+M22)*1.2</f>
        <v>116640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6861.17647058824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(M28*0.2)*1.2</f>
        <v>565632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17</v>
      </c>
      <c r="M11" s="92" t="n">
        <f aca="false">K11*L11</f>
        <v>538495.092312057</v>
      </c>
      <c r="O11" s="65" t="n">
        <f aca="false">+F11/$F$29*$O$29</f>
        <v>33272.4705882353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(E12/$E$29*$L$11)*1.2</f>
        <v>128813.922042553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7577.28953191489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(E13/$E$29*$L$11+370363)*1.2</f>
        <v>679250.401293617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3366655.09231206</v>
      </c>
      <c r="O13" s="65" t="n">
        <f aca="false">+F13/$F$29*$O$29</f>
        <v>39955.9059584481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(E14/$E$29*$L$11)*1.2</f>
        <v>0.0879659574748354</v>
      </c>
      <c r="H14" s="91" t="n">
        <f aca="false">E14/$E$23</f>
        <v>2.98539034593965E-008</v>
      </c>
      <c r="N14" s="71"/>
      <c r="O14" s="65" t="n">
        <f aca="false">+F14/$F$29*$O$29</f>
        <v>0.00517446808675502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(E15/$E$29*$L$11)*1.2</f>
        <v>21581.0888170213</v>
      </c>
      <c r="H15" s="91" t="n">
        <f aca="false">E15/$E$23</f>
        <v>0.00732419404718382</v>
      </c>
      <c r="K15" s="50"/>
      <c r="O15" s="65" t="n">
        <f aca="false">+F15/$F$29*$O$29</f>
        <v>1269.47581276596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(E16/$E$29*$L$11)*1.2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1</v>
      </c>
      <c r="M16" s="50" t="n">
        <f aca="false">K16*L16</f>
        <v>33600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(E17/$E$29*$L$11)*1.2</f>
        <v>1226.89361702128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72.1702127659574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(E18/$E$29*$L$11)*1.2</f>
        <v>66.5045787234035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3.91203404255314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(E19/$E$29*$L$11)*1.2</f>
        <v>112769.857361702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6633.5210212766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(E20/$E$29*$L$11)*1.2</f>
        <v>18.0978382978723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1</v>
      </c>
      <c r="M20" s="50" t="n">
        <f aca="false">K20*L20</f>
        <v>78000</v>
      </c>
      <c r="O20" s="65" t="n">
        <f aca="false">+F20/$F$29*$O$29</f>
        <v>1.06457872340426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(E21/$E$29*$L$11)*1.2</f>
        <v>146627.329361702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8625.13702127659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(E22/$E$29*$L$11)*1.2</f>
        <v>275.52789787234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1</v>
      </c>
      <c r="M22" s="50" t="n">
        <f aca="false">K22*L22</f>
        <v>97200</v>
      </c>
      <c r="O22" s="65" t="n">
        <f aca="false">+F22/$F$29*$O$29</f>
        <v>16.2075234042553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4484421.71077447</v>
      </c>
      <c r="H23" s="97" t="n">
        <f aca="false">SUM(H8:H22)</f>
        <v>1</v>
      </c>
      <c r="J23" s="0" t="s">
        <v>157</v>
      </c>
      <c r="K23" s="50" t="n">
        <v>120000</v>
      </c>
      <c r="L23" s="0" t="n">
        <v>5</v>
      </c>
      <c r="M23" s="50" t="n">
        <f aca="false">K23*L23</f>
        <v>600000</v>
      </c>
      <c r="O23" s="96" t="n">
        <f aca="false">SUM(O8:O22)</f>
        <v>263789.512398498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7</v>
      </c>
      <c r="M24" s="50" t="n">
        <f aca="false">K24*L24</f>
        <v>1092000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16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1</v>
      </c>
      <c r="J27" s="0" t="s">
        <v>162</v>
      </c>
      <c r="K27" s="50" t="n">
        <v>240000</v>
      </c>
      <c r="L27" s="0" t="n">
        <f aca="false">2-1</f>
        <v>1</v>
      </c>
      <c r="M27" s="50" t="n">
        <f aca="false">K27*L27</f>
        <v>240000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17</v>
      </c>
      <c r="M28" s="50" t="n">
        <f aca="false">SUM(M16:M27)</f>
        <v>2356800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17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17</v>
      </c>
      <c r="M34" s="80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  <col collapsed="false" customWidth="false" hidden="true" outlineLevel="0" max="40" min="20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208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(((M16+M17+M18+M19+M20+M23+M24+M26+M27)*1.2)/1.2)*1.1</f>
        <v>432960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472320</v>
      </c>
      <c r="O8" s="65" t="n">
        <f aca="false">+F8/$F$29*$O$29</f>
        <v>144320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86592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3</v>
      </c>
      <c r="M11" s="92" t="n">
        <f aca="false">K11*L11</f>
        <v>95028.5457021276</v>
      </c>
      <c r="O11" s="65" t="n">
        <f aca="false">+F11/$F$29*$O$29</f>
        <v>28864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(((E12/$E$29*$L$11)*1.2)/1.2)*1.1</f>
        <v>20837.546212766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6945.84873758865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(((E13/$E$29*$L$11+69443.06)*1.2)/1.2)*1.1</f>
        <v>114372.113268085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567348.545702128</v>
      </c>
      <c r="O13" s="65" t="n">
        <f aca="false">+F13/$F$29*$O$29</f>
        <v>38124.0377560284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(((E14/$E$29*$L$11)*1.2)/1.2)*1.1</f>
        <v>0.0142297872385763</v>
      </c>
      <c r="H14" s="91" t="n">
        <f aca="false">E14/$E$23</f>
        <v>2.98539034593965E-008</v>
      </c>
      <c r="N14" s="71"/>
      <c r="O14" s="65" t="n">
        <f aca="false">+F14/$F$29*$O$29</f>
        <v>0.00474326241285877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3491.05848510638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1</v>
      </c>
      <c r="M16" s="50" t="n">
        <f aca="false">K16*L16</f>
        <v>33600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198.468085106383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10.7580936170211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18242.1828085106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(((E20/$E$29*$L$11)*1.2)/1.2)*1.1</f>
        <v>2.9275914893617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0.975863829787234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23719.1268085106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44.5706893617021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0</v>
      </c>
      <c r="M22" s="50" t="n">
        <f aca="false">K22*L22</f>
        <v>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700470.76627234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1</v>
      </c>
      <c r="M23" s="50" t="n">
        <f aca="false">K23*L23</f>
        <v>120000</v>
      </c>
      <c r="O23" s="96" t="n">
        <f aca="false">SUM(O8:O22)</f>
        <v>233490.255424114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0</v>
      </c>
      <c r="M24" s="50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162</v>
      </c>
      <c r="K27" s="50" t="n">
        <v>240000</v>
      </c>
      <c r="L27" s="0" t="n">
        <v>1</v>
      </c>
      <c r="M27" s="50" t="n">
        <f aca="false">K27*L27</f>
        <v>240000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3</v>
      </c>
      <c r="M28" s="50" t="n">
        <f aca="false">SUM(M16:M27)</f>
        <v>393600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3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3</v>
      </c>
      <c r="M34" s="80" t="n">
        <f aca="false">+K34*L34</f>
        <v>95028.5457021277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  <col collapsed="false" customWidth="false" hidden="true" outlineLevel="0" max="21" min="20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209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(((M16+M17+M18+M19+M20+M23+M24+M26+M27)*1.2)/1.2)*1.1</f>
        <v>475200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518400</v>
      </c>
      <c r="O8" s="65" t="n">
        <f aca="false">+F8/$F$29*$O$29</f>
        <v>158400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95040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3</v>
      </c>
      <c r="M11" s="92" t="n">
        <f aca="false">K11*L11</f>
        <v>95028.5457021276</v>
      </c>
      <c r="O11" s="65" t="n">
        <f aca="false">+F11/$F$29*$O$29</f>
        <v>31680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(((E12/$E$29*$L$11)*1.2)/1.2)*1.1</f>
        <v>20837.546212766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6945.84873758865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(((E13/$E$29*$L$11+69443.06)*1.2)/1.2)*1.1</f>
        <v>114372.113268085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613428.545702128</v>
      </c>
      <c r="O13" s="65" t="n">
        <f aca="false">+F13/$F$29*$O$29</f>
        <v>38124.0377560284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(((E14/$E$29*$L$11)*1.2)/1.2)*1.1</f>
        <v>0.0142297872385763</v>
      </c>
      <c r="H14" s="91" t="n">
        <f aca="false">E14/$E$23</f>
        <v>2.98539034593965E-008</v>
      </c>
      <c r="N14" s="71"/>
      <c r="O14" s="65" t="n">
        <f aca="false">+F14/$F$29*$O$29</f>
        <v>0.00474326241285877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3491.05848510638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198.468085106383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10.7580936170211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18242.1828085106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(((E20/$E$29*$L$11)*1.2)/1.2)*1.1</f>
        <v>2.9275914893617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0.975863829787234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23719.1268085106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44.5706893617021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0</v>
      </c>
      <c r="M22" s="50" t="n">
        <f aca="false">K22*L22</f>
        <v>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751158.76627234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1</v>
      </c>
      <c r="M23" s="50" t="n">
        <f aca="false">K23*L23</f>
        <v>120000</v>
      </c>
      <c r="O23" s="96" t="n">
        <f aca="false">SUM(O8:O22)</f>
        <v>250386.255424114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2</v>
      </c>
      <c r="M24" s="50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3</v>
      </c>
      <c r="M28" s="50" t="n">
        <f aca="false">SUM(M16:M27)</f>
        <v>432000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3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3</v>
      </c>
      <c r="M34" s="80" t="n">
        <f aca="false">+K34*L34</f>
        <v>95028.5457021277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0" min="15" style="0" width="9.14"/>
    <col collapsed="false" customWidth="false" hidden="true" outlineLevel="0" max="44" min="31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210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(((M16+M17+M18+M19+M20+M23+M24+M26+M27)*1.2)/1.2)*1.1</f>
        <v>561000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728640</v>
      </c>
      <c r="O8" s="65" t="n">
        <f aca="false">+F8/$F$29*$O$29</f>
        <v>112200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106920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21384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133584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5</v>
      </c>
      <c r="M11" s="92" t="n">
        <f aca="false">K11*L11</f>
        <v>158380.909503546</v>
      </c>
      <c r="O11" s="65" t="n">
        <f aca="false">+F11/$F$29*$O$29</f>
        <v>26716.8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(((E12/$E$29*$L$11)*1.2)/1.2)*1.1</f>
        <v>34729.2436879433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6945.84873758865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(((E13/$E$29*$L$11+92590.75)*1.2)/1.2)*1.1</f>
        <v>165157.737113475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887020.909503546</v>
      </c>
      <c r="O13" s="65" t="n">
        <f aca="false">+F13/$F$29*$O$29</f>
        <v>33031.547422695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(((E14/$E$29*$L$11)*1.2)/1.2)*1.1</f>
        <v>0.0237163120642939</v>
      </c>
      <c r="H14" s="91" t="n">
        <f aca="false">E14/$E$23</f>
        <v>2.98539034593965E-008</v>
      </c>
      <c r="N14" s="71"/>
      <c r="O14" s="65" t="n">
        <f aca="false">+F14/$F$29*$O$29</f>
        <v>0.00474326241285877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5818.43080851064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330.780141843972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17.9301560283686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30403.6380141844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(((E20/$E$29*$L$11)*1.2)/1.2)*1.1</f>
        <v>4.87931914893617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1</v>
      </c>
      <c r="M20" s="50" t="n">
        <f aca="false">K20*L20</f>
        <v>78000</v>
      </c>
      <c r="O20" s="65" t="n">
        <f aca="false">+F20/$F$29*$O$29</f>
        <v>0.975863829787234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39531.8780141844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74.2844822695036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1</v>
      </c>
      <c r="M22" s="50" t="n">
        <f aca="false">K22*L22</f>
        <v>97200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1077572.8254539</v>
      </c>
      <c r="H23" s="97" t="n">
        <f aca="false">SUM(H8:H22)</f>
        <v>1</v>
      </c>
      <c r="J23" s="0" t="s">
        <v>157</v>
      </c>
      <c r="K23" s="50" t="n">
        <v>120000</v>
      </c>
      <c r="L23" s="0" t="n">
        <v>1</v>
      </c>
      <c r="M23" s="50" t="n">
        <f aca="false">K23*L23</f>
        <v>120000</v>
      </c>
      <c r="O23" s="96" t="n">
        <f aca="false">SUM(O8:O22)</f>
        <v>215514.56509078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2</v>
      </c>
      <c r="M24" s="50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1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5</v>
      </c>
      <c r="M28" s="50" t="n">
        <f aca="false">SUM(M16:M27)</f>
        <v>607200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5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5</v>
      </c>
      <c r="M34" s="80" t="n">
        <f aca="false">+K34*L34</f>
        <v>158380.909503546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211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(((M16+M17+M18+M19+M20+M23+M24+M26+M27)*1.2)/1.2)*1.1</f>
        <v>501600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547200</v>
      </c>
      <c r="O8" s="65" t="n">
        <f aca="false">+F8/$F$29*$O$29</f>
        <v>167200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100320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3</v>
      </c>
      <c r="M11" s="92" t="n">
        <f aca="false">K11*L11</f>
        <v>95028.5457021276</v>
      </c>
      <c r="O11" s="65" t="n">
        <f aca="false">+F11/$F$29*$O$29</f>
        <v>33440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(((E12/$E$29*$L$11)*1.2)/1.2)*1.1</f>
        <v>20837.546212766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6945.84873758865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(((E13/$E$29*$L$11+69443.06)*1.2)/1.2)*1.1</f>
        <v>114372.113268085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642228.545702128</v>
      </c>
      <c r="O13" s="65" t="n">
        <f aca="false">+F13/$F$29*$O$29</f>
        <v>38124.0377560284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(((E14/$E$29*$L$11)*1.2)/1.2)*1.1</f>
        <v>0.0142297872385763</v>
      </c>
      <c r="H14" s="91" t="n">
        <f aca="false">E14/$E$23</f>
        <v>2.98539034593965E-008</v>
      </c>
      <c r="N14" s="71"/>
      <c r="O14" s="65" t="n">
        <f aca="false">+F14/$F$29*$O$29</f>
        <v>0.00474326241285877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3491.05848510638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198.468085106383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10.7580936170211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18242.1828085106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(((E20/$E$29*$L$11)*1.2)/1.2)*1.1</f>
        <v>2.9275914893617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0.975863829787234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23719.1268085106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44.5706893617021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0</v>
      </c>
      <c r="M22" s="50" t="n">
        <f aca="false">K22*L22</f>
        <v>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782838.76627234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2</v>
      </c>
      <c r="M23" s="50" t="n">
        <f aca="false">K23*L23</f>
        <v>240000</v>
      </c>
      <c r="O23" s="96" t="n">
        <f aca="false">SUM(O8:O22)</f>
        <v>260946.255424114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0</v>
      </c>
      <c r="M24" s="50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1</v>
      </c>
      <c r="M26" s="50" t="n">
        <f aca="false">K26*L26</f>
        <v>216000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3</v>
      </c>
      <c r="M28" s="50" t="n">
        <f aca="false">SUM(M16:M27)</f>
        <v>456000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3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3</v>
      </c>
      <c r="M34" s="80" t="n">
        <f aca="false">+K34*L34</f>
        <v>95028.5457021277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  <col collapsed="false" customWidth="false" hidden="true" outlineLevel="0" max="40" min="20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212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(((M16+M17+M18+M19+M20+M23+M24+M26+M27)*1.2)/1.2)*1.1</f>
        <v>514800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561600</v>
      </c>
      <c r="O8" s="65" t="n">
        <f aca="false">+F8/$F$29*$O$29</f>
        <v>171600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 t="n">
        <v>0</v>
      </c>
      <c r="H9" s="91" t="n">
        <f aca="false">E9/$E$23</f>
        <v>0.0716886497316311</v>
      </c>
      <c r="J9" s="88"/>
      <c r="K9" s="27"/>
      <c r="L9" s="27"/>
      <c r="M9" s="89"/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(((M21+M22)*1.2)/1.2)*1.1</f>
        <v>0</v>
      </c>
      <c r="H10" s="91" t="n">
        <f aca="false">E10/$E$23</f>
        <v>0.173657406666346</v>
      </c>
      <c r="J10" s="88"/>
      <c r="K10" s="27"/>
      <c r="L10" s="27"/>
      <c r="M10" s="89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(((M28*0.2)*1.2)/1.2)*1.1</f>
        <v>102960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3</v>
      </c>
      <c r="M11" s="92" t="n">
        <f aca="false">K11*L11</f>
        <v>95028.5457021276</v>
      </c>
      <c r="O11" s="65" t="n">
        <f aca="false">+F11/$F$29*$O$29</f>
        <v>34320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(((E12/$E$29*$L$11)*1.2)/1.2)*1.1</f>
        <v>20837.546212766</v>
      </c>
      <c r="H12" s="91" t="n">
        <f aca="false">E12/$E$23</f>
        <v>0.0437168934810347</v>
      </c>
      <c r="J12" s="88"/>
      <c r="K12" s="27"/>
      <c r="L12" s="27"/>
      <c r="M12" s="89"/>
      <c r="O12" s="65" t="n">
        <f aca="false">+F12/$F$29*$O$29</f>
        <v>6945.84873758865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(((E13/$E$29*$L$11+69443.06)*1.2)/1.2)*1.1</f>
        <v>114372.113268085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656628.545702128</v>
      </c>
      <c r="O13" s="65" t="n">
        <f aca="false">+F13/$F$29*$O$29</f>
        <v>38124.0377560284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(((E14/$E$29*$L$11)*1.2)/1.2)*1.1</f>
        <v>0.0142297872385763</v>
      </c>
      <c r="H14" s="91" t="n">
        <f aca="false">E14/$E$23</f>
        <v>2.98539034593965E-008</v>
      </c>
      <c r="N14" s="71"/>
      <c r="O14" s="65" t="n">
        <f aca="false">+F14/$F$29*$O$29</f>
        <v>0.00474326241285877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(((E15/$E$29*$L$11)*1.2)/1.2)*1.1</f>
        <v>3491.05848510638</v>
      </c>
      <c r="H15" s="91" t="n">
        <f aca="false">E15/$E$23</f>
        <v>0.00732419404718382</v>
      </c>
      <c r="K15" s="50"/>
      <c r="O15" s="65" t="n">
        <f aca="false">+F15/$F$29*$O$29</f>
        <v>1163.68616170213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(((E16/$E$29*$L$11)*1.2)/1.2)*1.1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v>0</v>
      </c>
      <c r="M16" s="50" t="n">
        <f aca="false">K16*L16</f>
        <v>0</v>
      </c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(((E17/$E$29*$L$11)*1.2)/1.2)*1.1</f>
        <v>198.468085106383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v>0</v>
      </c>
      <c r="M17" s="50" t="n">
        <f aca="false">K17*L17</f>
        <v>0</v>
      </c>
      <c r="O17" s="65" t="n">
        <f aca="false">+F17/$F$29*$O$29</f>
        <v>66.1560283687943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(((E18/$E$29*$L$11)*1.2)/1.2)*1.1</f>
        <v>10.7580936170211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v>0</v>
      </c>
      <c r="M18" s="50" t="n">
        <f aca="false">K18*L18</f>
        <v>0</v>
      </c>
      <c r="O18" s="65" t="n">
        <f aca="false">+F18/$F$29*$O$29</f>
        <v>3.58603120567372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(((E19/$E$29*$L$11)*1.2)/1.2)*1.1</f>
        <v>18242.1828085106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v>0</v>
      </c>
      <c r="M19" s="50" t="n">
        <f aca="false">K19*L19</f>
        <v>0</v>
      </c>
      <c r="O19" s="65" t="n">
        <f aca="false">+F19/$F$29*$O$29</f>
        <v>6080.72760283688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(((E20/$E$29*$L$11)*1.2)/1.2)*1.1</f>
        <v>2.9275914893617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0</v>
      </c>
      <c r="M20" s="50" t="n">
        <f aca="false">K20*L20</f>
        <v>0</v>
      </c>
      <c r="O20" s="65" t="n">
        <f aca="false">+F20/$F$29*$O$29</f>
        <v>0.975863829787234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(((E21/$E$29*$L$11)*1.2)/1.2)*1.1</f>
        <v>23719.1268085106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0</v>
      </c>
      <c r="M21" s="50" t="n">
        <f aca="false">K21*L21</f>
        <v>0</v>
      </c>
      <c r="O21" s="65" t="n">
        <f aca="false">+F21/$F$29*$O$29</f>
        <v>7906.37560283688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(((E22/$E$29*$L$11)*1.2)/1.2)*1.1</f>
        <v>44.5706893617021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0</v>
      </c>
      <c r="M22" s="50" t="n">
        <f aca="false">K22*L22</f>
        <v>0</v>
      </c>
      <c r="O22" s="65" t="n">
        <f aca="false">+F22/$F$29*$O$29</f>
        <v>14.8568964539007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798678.76627234</v>
      </c>
      <c r="H23" s="97" t="n">
        <f aca="false">SUM(H8:H22)</f>
        <v>1</v>
      </c>
      <c r="J23" s="0" t="s">
        <v>157</v>
      </c>
      <c r="K23" s="50" t="n">
        <v>120000</v>
      </c>
      <c r="L23" s="0" t="n">
        <v>0</v>
      </c>
      <c r="M23" s="50" t="n">
        <f aca="false">K23*L23</f>
        <v>0</v>
      </c>
      <c r="O23" s="96" t="n">
        <f aca="false">SUM(O8:O22)</f>
        <v>266226.255424114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3</v>
      </c>
      <c r="M24" s="50" t="n">
        <f aca="false">K24*L24</f>
        <v>468000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159</v>
      </c>
      <c r="K25" s="50" t="n">
        <v>180000</v>
      </c>
      <c r="L25" s="0" t="n">
        <v>0</v>
      </c>
      <c r="M25" s="50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v>0</v>
      </c>
      <c r="M26" s="50" t="n">
        <f aca="false">K26*L26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162</v>
      </c>
      <c r="K27" s="50" t="n">
        <v>240000</v>
      </c>
      <c r="L27" s="0" t="n">
        <v>0</v>
      </c>
      <c r="M27" s="50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3</v>
      </c>
      <c r="M28" s="50" t="n">
        <f aca="false">SUM(M16:M27)</f>
        <v>468000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77" t="n">
        <f aca="false">SUM(F25:F27)</f>
        <v>3</v>
      </c>
      <c r="H29" s="50"/>
      <c r="O29" s="77" t="n"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3</v>
      </c>
      <c r="M34" s="80" t="n">
        <f aca="false">+K34*L34</f>
        <v>95028.5457021277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51" t="str">
        <f aca="false">'[7]Team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213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'[8]Executive Orig'!C8+[8]Trading!C8+[8]Origination!C8+'[8]Mid Market'!C8+[8]Services!C8+[8]Fundamentals!C8</f>
        <v>4789958.99</v>
      </c>
      <c r="E8" s="65" t="n">
        <f aca="false">(C8/9)*12</f>
        <v>6386611.98666667</v>
      </c>
      <c r="F8" s="65"/>
      <c r="G8" s="65" t="n">
        <f aca="false">+'[9]West Power Trading'!G8+'[9]West Power A&amp;A'!G8</f>
        <v>2157000</v>
      </c>
      <c r="H8" s="65"/>
      <c r="I8" s="91" t="n">
        <f aca="false">+G8/$G$23</f>
        <v>0.497278608804377</v>
      </c>
      <c r="K8" s="88" t="s">
        <v>120</v>
      </c>
      <c r="L8" s="50" t="n">
        <v>0</v>
      </c>
      <c r="M8" s="27" t="n">
        <v>64</v>
      </c>
      <c r="N8" s="92" t="n">
        <f aca="false">N28</f>
        <v>5891760</v>
      </c>
      <c r="O8" s="65" t="n">
        <f aca="false">+G8/$G$29*$O$29</f>
        <v>89875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'[8]Executive Orig'!C9+[8]Trading!C9+[8]Origination!C9+'[8]Mid Market'!C9+[8]Services!C9+[8]Fundamentals!C9</f>
        <v>1464000</v>
      </c>
      <c r="E9" s="65" t="n">
        <f aca="false">+C9</f>
        <v>1464000</v>
      </c>
      <c r="F9" s="65"/>
      <c r="G9" s="65" t="n">
        <f aca="false">+'[9]West Power Trading'!G9+'[9]West Power A&amp;A'!G9</f>
        <v>0</v>
      </c>
      <c r="H9" s="65"/>
      <c r="I9" s="91" t="n">
        <f aca="false">+G9/$G$23</f>
        <v>0</v>
      </c>
      <c r="K9" s="88"/>
      <c r="L9" s="27"/>
      <c r="M9" s="27"/>
      <c r="N9" s="89"/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f aca="false">'[8]Executive Orig'!C10+[8]Trading!C10+[8]Origination!C10+'[8]Mid Market'!C10+[8]Services!C10+[8]Fundamentals!C10</f>
        <v>804567</v>
      </c>
      <c r="E10" s="65" t="n">
        <f aca="false">(C10/9)*12</f>
        <v>1072756</v>
      </c>
      <c r="F10" s="65"/>
      <c r="G10" s="65" t="n">
        <f aca="false">+'[9]West Power Trading'!G10+'[9]West Power A&amp;A'!G10</f>
        <v>559200</v>
      </c>
      <c r="H10" s="65"/>
      <c r="I10" s="91" t="n">
        <f aca="false">+G10/$G$23</f>
        <v>0.128918960613541</v>
      </c>
      <c r="K10" s="88"/>
      <c r="L10" s="27"/>
      <c r="M10" s="27"/>
      <c r="N10" s="89"/>
      <c r="O10" s="65" t="n">
        <f aca="false">+G10/$G$29*$O$29</f>
        <v>23300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'[8]Executive Orig'!C11+[8]Trading!C11+[8]Origination!C11+'[8]Mid Market'!C11+[8]Services!C11+[8]Fundamentals!C11</f>
        <v>1096068.21</v>
      </c>
      <c r="E11" s="65" t="n">
        <f aca="false">(C11/9)*12</f>
        <v>1461424.28</v>
      </c>
      <c r="F11" s="65"/>
      <c r="G11" s="65" t="n">
        <f aca="false">+'[9]West Power Trading'!G11+'[9]West Power A&amp;A'!G11</f>
        <v>543240</v>
      </c>
      <c r="H11" s="65"/>
      <c r="I11" s="91" t="n">
        <f aca="false">+G11/$G$23</f>
        <v>0.125239513883584</v>
      </c>
      <c r="K11" s="88" t="s">
        <v>83</v>
      </c>
      <c r="L11" s="80" t="n">
        <f aca="false">(E12+E13+E14+E15+E16+E17+E18+E19+E20+E21+E22)/E29</f>
        <v>47533.8552808989</v>
      </c>
      <c r="M11" s="27" t="n">
        <f aca="false">M28</f>
        <v>42</v>
      </c>
      <c r="N11" s="92" t="n">
        <f aca="false">L11*M11</f>
        <v>1996421.92179775</v>
      </c>
      <c r="O11" s="65" t="n">
        <f aca="false">+G11/$G$29*$O$29</f>
        <v>22635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'[8]Executive Orig'!C12+[8]Trading!C12+[8]Origination!C12+'[8]Mid Market'!C12+[8]Services!C12+[8]Fundamentals!C12</f>
        <v>658117.68</v>
      </c>
      <c r="E12" s="67" t="n">
        <f aca="false">((C12/9)*12)*1.2</f>
        <v>1052988.288</v>
      </c>
      <c r="F12" s="65"/>
      <c r="G12" s="65" t="n">
        <f aca="false">+'[9]West Power Trading'!G12+'[9]West Power A&amp;A'!G12</f>
        <v>207688.888888889</v>
      </c>
      <c r="H12" s="65"/>
      <c r="I12" s="91" t="n">
        <f aca="false">+G12/$G$23</f>
        <v>0.0478809651046794</v>
      </c>
      <c r="K12" s="88"/>
      <c r="L12" s="27"/>
      <c r="M12" s="27"/>
      <c r="N12" s="89"/>
      <c r="O12" s="65" t="n">
        <f aca="false">+G12/$G$29*$O$29</f>
        <v>8653.7037037037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'[8]Executive Orig'!C13+[8]Trading!C13+[8]Origination!C13+'[8]Mid Market'!C13+[8]Services!C13+[8]Fundamentals!C13</f>
        <v>719773.8</v>
      </c>
      <c r="E13" s="67" t="n">
        <f aca="false">((C13/9)*12)*1.2</f>
        <v>1151638.08</v>
      </c>
      <c r="F13" s="65"/>
      <c r="G13" s="65" t="n">
        <f aca="false">+'[9]West Power Trading'!G13+'[9]West Power A&amp;A'!G13</f>
        <v>294000</v>
      </c>
      <c r="H13" s="65"/>
      <c r="I13" s="91" t="n">
        <f aca="false">+G13/$G$23</f>
        <v>0.0677792818676341</v>
      </c>
      <c r="K13" s="93" t="s">
        <v>129</v>
      </c>
      <c r="L13" s="94"/>
      <c r="M13" s="94"/>
      <c r="N13" s="95" t="n">
        <f aca="false">N8+N11</f>
        <v>7888181.92179775</v>
      </c>
      <c r="O13" s="65" t="n">
        <f aca="false">+G13/$G$29*$O$29</f>
        <v>12250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'[8]Executive Orig'!C14+[8]Trading!C14+[8]Origination!C14+'[8]Mid Market'!C14+[8]Services!C14+[8]Fundamentals!C14-C32</f>
        <v>0.239999999757856</v>
      </c>
      <c r="E14" s="67" t="n">
        <f aca="false">((C14/9)*12)*1.2</f>
        <v>0.38399999961257</v>
      </c>
      <c r="F14" s="65"/>
      <c r="G14" s="65" t="n">
        <f aca="false">+'[9]West Power Trading'!G14+'[9]West Power A&amp;A'!G14</f>
        <v>160000.034516854</v>
      </c>
      <c r="H14" s="65"/>
      <c r="I14" s="91" t="n">
        <f aca="false">+G14/$G$23</f>
        <v>0.0368866919671736</v>
      </c>
      <c r="O14" s="65" t="n">
        <f aca="false">+G14/$G$29*$O$29</f>
        <v>6666.66810486891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'[8]Executive Orig'!C15+[8]Trading!C15+[8]Origination!C15+'[8]Mid Market'!C15+[8]Services!C15+[8]Fundamentals!C15</f>
        <v>128890.14</v>
      </c>
      <c r="E15" s="67" t="n">
        <f aca="false">((C15/9)*12)*1.2</f>
        <v>206224.224</v>
      </c>
      <c r="F15" s="65"/>
      <c r="G15" s="65" t="n">
        <f aca="false">+'[9]West Power Trading'!G15+'[9]West Power A&amp;A'!G15</f>
        <v>69120</v>
      </c>
      <c r="H15" s="65"/>
      <c r="I15" s="91" t="n">
        <f aca="false">+G15/$G$23</f>
        <v>0.0159350474921458</v>
      </c>
      <c r="O15" s="65" t="n">
        <f aca="false">+G15/$G$29*$O$29</f>
        <v>2880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'[8]Executive Orig'!C16+[8]Trading!C16+[8]Origination!C16+'[8]Mid Market'!C16+[8]Services!C16+[8]Fundamentals!C16</f>
        <v>0</v>
      </c>
      <c r="E16" s="67" t="n">
        <f aca="false">((C16/9)*12)*1.2</f>
        <v>0</v>
      </c>
      <c r="F16" s="65"/>
      <c r="G16" s="65" t="n">
        <f aca="false">+'[9]West Power Trading'!G16+'[9]West Power A&amp;A'!G16</f>
        <v>20000</v>
      </c>
      <c r="H16" s="65"/>
      <c r="I16" s="91" t="n">
        <f aca="false">+G16/$G$23</f>
        <v>0.0046108355011996</v>
      </c>
      <c r="K16" s="0" t="s">
        <v>193</v>
      </c>
      <c r="L16" s="50" t="n">
        <v>33600</v>
      </c>
      <c r="M16" s="0" t="n">
        <f aca="false">1</f>
        <v>1</v>
      </c>
      <c r="N16" s="50" t="n">
        <f aca="false">L16*M16</f>
        <v>33600</v>
      </c>
      <c r="O16" s="65" t="n">
        <f aca="false">+G16/$G$29*$O$29</f>
        <v>833.333333333333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'[8]Executive Orig'!C17+[8]Trading!C17+[8]Origination!C17+'[8]Mid Market'!C17+[8]Services!C17+[8]Fundamentals!C17</f>
        <v>11300</v>
      </c>
      <c r="E17" s="67" t="n">
        <f aca="false">((C17/9)*12)*1.2</f>
        <v>18080</v>
      </c>
      <c r="F17" s="65"/>
      <c r="G17" s="65" t="n">
        <f aca="false">+'[9]West Power Trading'!G17+'[9]West Power A&amp;A'!G17</f>
        <v>6094</v>
      </c>
      <c r="H17" s="65"/>
      <c r="I17" s="91" t="n">
        <f aca="false">+G17/$G$23</f>
        <v>0.00140492157721552</v>
      </c>
      <c r="K17" s="0" t="s">
        <v>139</v>
      </c>
      <c r="L17" s="50" t="n">
        <v>52800</v>
      </c>
      <c r="M17" s="0" t="n">
        <f aca="false">5</f>
        <v>5</v>
      </c>
      <c r="N17" s="50" t="n">
        <f aca="false">L17*M17</f>
        <v>264000</v>
      </c>
      <c r="O17" s="65" t="n">
        <f aca="false">+G17/$G$29*$O$29</f>
        <v>253.916666666667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'[8]Executive Orig'!C18+[8]Trading!C18+[8]Origination!C18+'[8]Mid Market'!C18+[8]Services!C18+[8]Fundamentals!C18</f>
        <v>327447.74</v>
      </c>
      <c r="E18" s="67" t="n">
        <f aca="false">((C18/9)*12)*1.2</f>
        <v>523916.384</v>
      </c>
      <c r="F18" s="65"/>
      <c r="G18" s="65" t="n">
        <f aca="false">+'[9]West Power Trading'!G18+'[9]West Power A&amp;A'!G18</f>
        <v>99600</v>
      </c>
      <c r="H18" s="65"/>
      <c r="I18" s="91" t="n">
        <f aca="false">+G18/$G$23</f>
        <v>0.022961960795974</v>
      </c>
      <c r="K18" s="0" t="s">
        <v>142</v>
      </c>
      <c r="L18" s="50" t="n">
        <v>54000</v>
      </c>
      <c r="M18" s="0" t="n">
        <v>0</v>
      </c>
      <c r="N18" s="50" t="n">
        <f aca="false">L18*M18</f>
        <v>0</v>
      </c>
      <c r="O18" s="65" t="n">
        <f aca="false">+G18/$G$29*$O$29</f>
        <v>4150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'[8]Executive Orig'!C19+[8]Trading!C19+[8]Origination!C19+'[8]Mid Market'!C19+[8]Services!C19+[8]Fundamentals!C19</f>
        <v>155845.37</v>
      </c>
      <c r="E19" s="67" t="n">
        <f aca="false">((C19/9)*12)*1.2</f>
        <v>249352.592</v>
      </c>
      <c r="F19" s="65"/>
      <c r="G19" s="65" t="n">
        <f aca="false">+'[9]West Power Trading'!G19+'[9]West Power A&amp;A'!G19</f>
        <v>104000</v>
      </c>
      <c r="H19" s="65"/>
      <c r="I19" s="91" t="n">
        <f aca="false">+G19/$G$23</f>
        <v>0.0239763446062379</v>
      </c>
      <c r="K19" s="0" t="s">
        <v>145</v>
      </c>
      <c r="L19" s="50" t="n">
        <v>63000</v>
      </c>
      <c r="M19" s="0" t="n">
        <f aca="false">5</f>
        <v>5</v>
      </c>
      <c r="N19" s="50" t="n">
        <f aca="false">L19*M19</f>
        <v>315000</v>
      </c>
      <c r="O19" s="65" t="n">
        <f aca="false">+G19/$G$29*$O$29</f>
        <v>4333.33333333333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'[8]Executive Orig'!C20+[8]Trading!C20+[8]Origination!C20+'[8]Mid Market'!C20+[8]Services!C20+[8]Fundamentals!C20</f>
        <v>116.15</v>
      </c>
      <c r="E20" s="67" t="n">
        <f aca="false">((C20/9)*12)*1.2</f>
        <v>185.84</v>
      </c>
      <c r="F20" s="65"/>
      <c r="G20" s="65" t="n">
        <f aca="false">+'[9]West Power Trading'!G20+'[9]West Power A&amp;A'!G20</f>
        <v>0</v>
      </c>
      <c r="H20" s="65"/>
      <c r="I20" s="91" t="n">
        <f aca="false">+G20/$G$23</f>
        <v>0</v>
      </c>
      <c r="K20" s="0" t="s">
        <v>148</v>
      </c>
      <c r="L20" s="50" t="n">
        <v>78000</v>
      </c>
      <c r="M20" s="0" t="n">
        <f aca="false">1</f>
        <v>1</v>
      </c>
      <c r="N20" s="50" t="n">
        <f aca="false">L20*M20</f>
        <v>78000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'[8]Executive Orig'!C21+[8]Trading!C21+[8]Origination!C21+'[8]Mid Market'!C21+[8]Services!C21+[8]Fundamentals!C21</f>
        <v>566869.93</v>
      </c>
      <c r="E21" s="67" t="n">
        <f aca="false">((C21/9)*12)*1.2</f>
        <v>906991.888</v>
      </c>
      <c r="F21" s="65"/>
      <c r="G21" s="65" t="n">
        <f aca="false">+'[9]West Power Trading'!G21+'[9]West Power A&amp;A'!G21</f>
        <v>85000</v>
      </c>
      <c r="H21" s="65"/>
      <c r="I21" s="91" t="n">
        <f aca="false">+G21/$G$23</f>
        <v>0.0195960508800983</v>
      </c>
      <c r="K21" s="0" t="s">
        <v>151</v>
      </c>
      <c r="L21" s="50" t="n">
        <v>66000</v>
      </c>
      <c r="M21" s="0" t="n">
        <f aca="false">7</f>
        <v>7</v>
      </c>
      <c r="N21" s="50" t="n">
        <f aca="false">L21*M21</f>
        <v>462000</v>
      </c>
      <c r="O21" s="65" t="n">
        <f aca="false">+G21/$G$29*$O$29</f>
        <v>3541.66666666667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'[8]Executive Orig'!C22+[8]Trading!C22+[8]Origination!C22+'[8]Mid Market'!C22+[8]Services!C22+[8]Fundamentals!C22</f>
        <v>75709.65</v>
      </c>
      <c r="E22" s="67" t="n">
        <f aca="false">((C22/9)*12)*1.2</f>
        <v>121135.44</v>
      </c>
      <c r="F22" s="65"/>
      <c r="G22" s="65" t="n">
        <f aca="false">+'[9]West Power Trading'!G22+'[9]West Power A&amp;A'!G22</f>
        <v>32665.7366292135</v>
      </c>
      <c r="H22" s="65"/>
      <c r="I22" s="91" t="n">
        <f aca="false">+G22/$G$23</f>
        <v>0.00753081690614068</v>
      </c>
      <c r="K22" s="0" t="s">
        <v>154</v>
      </c>
      <c r="L22" s="50" t="n">
        <v>97200</v>
      </c>
      <c r="M22" s="0" t="n">
        <f aca="false">1</f>
        <v>1</v>
      </c>
      <c r="N22" s="50" t="n">
        <f aca="false">L22*M22</f>
        <v>97200</v>
      </c>
      <c r="O22" s="65" t="n">
        <f aca="false">+G22/$G$29*$O$29</f>
        <v>1361.07235955056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4337608.66003496</v>
      </c>
      <c r="H23" s="76"/>
      <c r="I23" s="97" t="n">
        <f aca="false">SUM(I8:I22)</f>
        <v>1</v>
      </c>
      <c r="K23" s="0" t="s">
        <v>157</v>
      </c>
      <c r="L23" s="50" t="n">
        <v>120000</v>
      </c>
      <c r="M23" s="0" t="n">
        <f aca="false">5</f>
        <v>5</v>
      </c>
      <c r="N23" s="50" t="n">
        <f aca="false">L23*M23</f>
        <v>600000</v>
      </c>
      <c r="O23" s="74" t="n">
        <f aca="false">SUM(O8:O22)</f>
        <v>180733.694168123</v>
      </c>
    </row>
    <row r="24" customFormat="false" ht="12.75" hidden="false" customHeight="false" outlineLevel="0" collapsed="false">
      <c r="K24" s="0" t="s">
        <v>158</v>
      </c>
      <c r="L24" s="50" t="n">
        <v>156000</v>
      </c>
      <c r="M24" s="0" t="n">
        <f aca="false">11</f>
        <v>11</v>
      </c>
      <c r="N24" s="50" t="n">
        <f aca="false">L24*M24</f>
        <v>1716000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'[8]Executive Orig'!E25+[8]Trading!E25+[8]Origination!E25+'[8]Mid Market'!E25+[8]Services!E25+[8]Fundamentals!E25</f>
        <v>74</v>
      </c>
      <c r="F25" s="65"/>
      <c r="G25" s="77" t="n">
        <f aca="false">+'[9]West Power Trading'!G25+'[9]West Power A&amp;A'!G25</f>
        <v>16</v>
      </c>
      <c r="H25" s="65"/>
      <c r="K25" s="0" t="s">
        <v>159</v>
      </c>
      <c r="L25" s="50" t="n">
        <v>180000</v>
      </c>
      <c r="M25" s="0" t="n">
        <v>0</v>
      </c>
      <c r="N25" s="50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G26" s="65"/>
      <c r="H26" s="65"/>
      <c r="K26" s="0" t="s">
        <v>160</v>
      </c>
      <c r="L26" s="50" t="n">
        <v>216000</v>
      </c>
      <c r="M26" s="0" t="n">
        <f aca="false">4</f>
        <v>4</v>
      </c>
      <c r="N26" s="50" t="n">
        <f aca="false">L26*M26</f>
        <v>864000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'[8]Executive Orig'!E27+[8]Trading!E27+[8]Origination!E27+'[8]Mid Market'!E27+[8]Services!E27+[8]Fundamentals!E27</f>
        <v>15</v>
      </c>
      <c r="F27" s="65"/>
      <c r="G27" s="77" t="n">
        <f aca="false">+'[9]West Power Trading'!G27+'[9]West Power A&amp;A'!G27</f>
        <v>8</v>
      </c>
      <c r="H27" s="65"/>
      <c r="K27" s="0" t="s">
        <v>162</v>
      </c>
      <c r="L27" s="50" t="n">
        <v>240000</v>
      </c>
      <c r="M27" s="0" t="n">
        <f aca="false">2</f>
        <v>2</v>
      </c>
      <c r="N27" s="50" t="n">
        <f aca="false">L27*M27</f>
        <v>480000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50" t="n">
        <f aca="false">SUM(N16:N27)*1.2</f>
        <v>5891760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89</v>
      </c>
      <c r="F29" s="65"/>
      <c r="G29" s="77" t="n">
        <f aca="false">+G27+G25</f>
        <v>24</v>
      </c>
      <c r="H29" s="65"/>
      <c r="I29" s="50"/>
      <c r="O29" s="77" t="n">
        <v>1</v>
      </c>
    </row>
    <row r="31" customFormat="false" ht="12.75" hidden="false" customHeight="false" outlineLevel="0" collapsed="false">
      <c r="J31" s="17" t="s">
        <v>164</v>
      </c>
      <c r="K31" s="50"/>
      <c r="L31" s="50"/>
      <c r="M31" s="50"/>
    </row>
    <row r="32" customFormat="false" ht="12.75" hidden="true" customHeight="false" outlineLevel="0" collapsed="false">
      <c r="B32" s="64" t="s">
        <v>131</v>
      </c>
      <c r="C32" s="65" t="n">
        <v>677322</v>
      </c>
      <c r="K32" s="50"/>
      <c r="L32" s="50"/>
      <c r="M32" s="50"/>
    </row>
    <row r="33" customFormat="false" ht="12.75" hidden="false" customHeight="false" outlineLevel="0" collapsed="false">
      <c r="J33" s="79" t="s">
        <v>165</v>
      </c>
      <c r="K33" s="80" t="s">
        <v>166</v>
      </c>
      <c r="L33" s="80" t="s">
        <v>167</v>
      </c>
      <c r="M33" s="80" t="s">
        <v>110</v>
      </c>
      <c r="N33" s="80" t="s">
        <v>168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42</v>
      </c>
      <c r="N34" s="80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51" t="str">
        <f aca="false">'[7]Team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216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'[8]Executive Orig'!C8+[8]Trading!C8+[8]Origination!C8+'[8]Mid Market'!C8+[8]Services!C8+[8]Fundamentals!C8</f>
        <v>4789958.99</v>
      </c>
      <c r="E8" s="65" t="n">
        <f aca="false">(C8/9)*12</f>
        <v>6386611.98666667</v>
      </c>
      <c r="F8" s="65"/>
      <c r="G8" s="65" t="n">
        <f aca="false">(((+'[9]West Power Trading'!G8+'[9]West Power A&amp;A'!G8)*1.2)/1.2)*1.1</f>
        <v>2372700</v>
      </c>
      <c r="H8" s="65"/>
      <c r="I8" s="91" t="n">
        <f aca="false">+G8/$G$23</f>
        <v>0.492547245624907</v>
      </c>
      <c r="K8" s="88" t="s">
        <v>120</v>
      </c>
      <c r="L8" s="50" t="n">
        <v>0</v>
      </c>
      <c r="M8" s="27" t="n">
        <v>64</v>
      </c>
      <c r="N8" s="92" t="n">
        <f aca="false">N28</f>
        <v>5891760</v>
      </c>
      <c r="O8" s="65" t="n">
        <f aca="false">+G8/$G$29*$O$29</f>
        <v>98862.5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'[8]Executive Orig'!C9+[8]Trading!C9+[8]Origination!C9+'[8]Mid Market'!C9+[8]Services!C9+[8]Fundamentals!C9</f>
        <v>1464000</v>
      </c>
      <c r="E9" s="65" t="n">
        <f aca="false">+C9</f>
        <v>1464000</v>
      </c>
      <c r="F9" s="65"/>
      <c r="G9" s="65" t="n">
        <f aca="false">(((+'[9]West Power Trading'!G9+'[9]West Power A&amp;A'!G9)*1.2)/1.2)*1.1</f>
        <v>0</v>
      </c>
      <c r="H9" s="65"/>
      <c r="I9" s="91" t="n">
        <f aca="false">+G9/$G$23</f>
        <v>0</v>
      </c>
      <c r="K9" s="88"/>
      <c r="L9" s="27"/>
      <c r="M9" s="27"/>
      <c r="N9" s="89"/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f aca="false">'[8]Executive Orig'!C10+[8]Trading!C10+[8]Origination!C10+'[8]Mid Market'!C10+[8]Services!C10+[8]Fundamentals!C10</f>
        <v>804567</v>
      </c>
      <c r="E10" s="65" t="n">
        <f aca="false">(C10/9)*12</f>
        <v>1072756</v>
      </c>
      <c r="F10" s="65"/>
      <c r="G10" s="65" t="n">
        <f aca="false">(((+'[9]West Power Trading'!G10+'[9]West Power A&amp;A'!G10)*1.2)/1.2)*1.1</f>
        <v>615120</v>
      </c>
      <c r="H10" s="65"/>
      <c r="I10" s="91" t="n">
        <f aca="false">+G10/$G$23</f>
        <v>0.127692359644621</v>
      </c>
      <c r="K10" s="88"/>
      <c r="L10" s="27"/>
      <c r="M10" s="27"/>
      <c r="N10" s="89"/>
      <c r="O10" s="65" t="n">
        <f aca="false">+G10/$G$29*$O$29</f>
        <v>25630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'[8]Executive Orig'!C11+[8]Trading!C11+[8]Origination!C11+'[8]Mid Market'!C11+[8]Services!C11+[8]Fundamentals!C11</f>
        <v>1096068.21</v>
      </c>
      <c r="E11" s="65" t="n">
        <f aca="false">(C11/9)*12</f>
        <v>1461424.28</v>
      </c>
      <c r="F11" s="65"/>
      <c r="G11" s="65" t="n">
        <f aca="false">(((+'[9]West Power Trading'!G11+'[9]West Power A&amp;A'!G11)*1.2)/1.2)*1.1</f>
        <v>597564</v>
      </c>
      <c r="H11" s="65"/>
      <c r="I11" s="91" t="n">
        <f aca="false">+G11/$G$23</f>
        <v>0.124047921053906</v>
      </c>
      <c r="K11" s="88" t="s">
        <v>83</v>
      </c>
      <c r="L11" s="80" t="n">
        <f aca="false">(E12+E13+E14+E15+E16+E17+E18+E19+E20+E21+E22)/E29</f>
        <v>47533.8552808989</v>
      </c>
      <c r="M11" s="27" t="n">
        <f aca="false">M28</f>
        <v>42</v>
      </c>
      <c r="N11" s="92" t="n">
        <f aca="false">L11*M11</f>
        <v>1996421.92179775</v>
      </c>
      <c r="O11" s="65" t="n">
        <f aca="false">+G11/$G$29*$O$29</f>
        <v>24898.5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'[8]Executive Orig'!C12+[8]Trading!C12+[8]Origination!C12+'[8]Mid Market'!C12+[8]Services!C12+[8]Fundamentals!C12</f>
        <v>658117.68</v>
      </c>
      <c r="E12" s="67" t="n">
        <f aca="false">((C12/9)*12)*1.2</f>
        <v>1052988.288</v>
      </c>
      <c r="F12" s="65"/>
      <c r="G12" s="65" t="n">
        <f aca="false">(((+'[9]West Power Trading'!G12+'[9]West Power A&amp;A'!G12)*1.2+50000)/1.2)*1.1</f>
        <v>274291.111111111</v>
      </c>
      <c r="H12" s="65"/>
      <c r="I12" s="91" t="n">
        <f aca="false">+G12/$G$23</f>
        <v>0.0569399128744355</v>
      </c>
      <c r="K12" s="88"/>
      <c r="L12" s="27"/>
      <c r="M12" s="27"/>
      <c r="N12" s="89"/>
      <c r="O12" s="65" t="n">
        <f aca="false">+G12/$G$29*$O$29</f>
        <v>11428.7962962963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'[8]Executive Orig'!C13+[8]Trading!C13+[8]Origination!C13+'[8]Mid Market'!C13+[8]Services!C13+[8]Fundamentals!C13</f>
        <v>719773.8</v>
      </c>
      <c r="E13" s="67" t="n">
        <f aca="false">((C13/9)*12)*1.2</f>
        <v>1151638.08</v>
      </c>
      <c r="F13" s="65"/>
      <c r="G13" s="65" t="n">
        <f aca="false">(((+'[9]West Power Trading'!G13+'[9]West Power A&amp;A'!G13)*1.2)/1.2)*1.1</f>
        <v>323400</v>
      </c>
      <c r="H13" s="65"/>
      <c r="I13" s="91" t="n">
        <f aca="false">+G13/$G$23</f>
        <v>0.0671343950921292</v>
      </c>
      <c r="K13" s="93" t="s">
        <v>129</v>
      </c>
      <c r="L13" s="94"/>
      <c r="M13" s="94"/>
      <c r="N13" s="95" t="n">
        <f aca="false">N8+N11</f>
        <v>7888181.92179775</v>
      </c>
      <c r="O13" s="65" t="n">
        <f aca="false">+G13/$G$29*$O$29</f>
        <v>13475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'[8]Executive Orig'!C14+[8]Trading!C14+[8]Origination!C14+'[8]Mid Market'!C14+[8]Services!C14+[8]Fundamentals!C14-C32</f>
        <v>0.239999999757856</v>
      </c>
      <c r="E14" s="67" t="n">
        <f aca="false">((C14/9)*12)*1.2</f>
        <v>0.38399999961257</v>
      </c>
      <c r="F14" s="65"/>
      <c r="G14" s="65" t="n">
        <f aca="false">(((+'[9]West Power Trading'!G14+'[9]West Power A&amp;A'!G14)*1.2)/1.2)*1.1</f>
        <v>176000.037968539</v>
      </c>
      <c r="H14" s="65"/>
      <c r="I14" s="91" t="n">
        <f aca="false">+G14/$G$23</f>
        <v>0.0365357331020707</v>
      </c>
      <c r="O14" s="65" t="n">
        <f aca="false">+G14/$G$29*$O$29</f>
        <v>7333.3349153558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'[8]Executive Orig'!C15+[8]Trading!C15+[8]Origination!C15+'[8]Mid Market'!C15+[8]Services!C15+[8]Fundamentals!C15</f>
        <v>128890.14</v>
      </c>
      <c r="E15" s="67" t="n">
        <f aca="false">((C15/9)*12)*1.2</f>
        <v>206224.224</v>
      </c>
      <c r="F15" s="65"/>
      <c r="G15" s="65" t="n">
        <f aca="false">(((+'[9]West Power Trading'!G15+'[9]West Power A&amp;A'!G15)*1.2)/1.2)*1.1</f>
        <v>76032</v>
      </c>
      <c r="H15" s="65"/>
      <c r="I15" s="91" t="n">
        <f aca="false">+G15/$G$23</f>
        <v>0.0157834332951292</v>
      </c>
      <c r="O15" s="65" t="n">
        <f aca="false">+G15/$G$29*$O$29</f>
        <v>3168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'[8]Executive Orig'!C16+[8]Trading!C16+[8]Origination!C16+'[8]Mid Market'!C16+[8]Services!C16+[8]Fundamentals!C16</f>
        <v>0</v>
      </c>
      <c r="E16" s="67" t="n">
        <f aca="false">((C16/9)*12)*1.2</f>
        <v>0</v>
      </c>
      <c r="F16" s="65"/>
      <c r="G16" s="65" t="n">
        <f aca="false">(((+'[9]West Power Trading'!G16+'[9]West Power A&amp;A'!G16)*1.2)/1.2)*1.1</f>
        <v>22000</v>
      </c>
      <c r="H16" s="65"/>
      <c r="I16" s="91" t="n">
        <f aca="false">+G16/$G$23</f>
        <v>0.0045669656525258</v>
      </c>
      <c r="K16" s="0" t="s">
        <v>193</v>
      </c>
      <c r="L16" s="50" t="n">
        <v>33600</v>
      </c>
      <c r="M16" s="0" t="n">
        <f aca="false">1</f>
        <v>1</v>
      </c>
      <c r="N16" s="50" t="n">
        <f aca="false">L16*M16</f>
        <v>33600</v>
      </c>
      <c r="O16" s="65" t="n">
        <f aca="false">+G16/$G$29*$O$29</f>
        <v>916.666666666667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'[8]Executive Orig'!C17+[8]Trading!C17+[8]Origination!C17+'[8]Mid Market'!C17+[8]Services!C17+[8]Fundamentals!C17</f>
        <v>11300</v>
      </c>
      <c r="E17" s="67" t="n">
        <f aca="false">((C17/9)*12)*1.2</f>
        <v>18080</v>
      </c>
      <c r="F17" s="65"/>
      <c r="G17" s="65" t="n">
        <f aca="false">(((+'[9]West Power Trading'!G17+'[9]West Power A&amp;A'!G17)*1.2)/1.2)*1.1</f>
        <v>6703.4</v>
      </c>
      <c r="H17" s="65"/>
      <c r="I17" s="91" t="n">
        <f aca="false">+G17/$G$23</f>
        <v>0.00139155443432461</v>
      </c>
      <c r="K17" s="0" t="s">
        <v>139</v>
      </c>
      <c r="L17" s="50" t="n">
        <v>52800</v>
      </c>
      <c r="M17" s="0" t="n">
        <f aca="false">5</f>
        <v>5</v>
      </c>
      <c r="N17" s="50" t="n">
        <f aca="false">L17*M17</f>
        <v>264000</v>
      </c>
      <c r="O17" s="65" t="n">
        <f aca="false">+G17/$G$29*$O$29</f>
        <v>279.308333333333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'[8]Executive Orig'!C18+[8]Trading!C18+[8]Origination!C18+'[8]Mid Market'!C18+[8]Services!C18+[8]Fundamentals!C18</f>
        <v>327447.74</v>
      </c>
      <c r="E18" s="67" t="n">
        <f aca="false">((C18/9)*12)*1.2</f>
        <v>523916.384</v>
      </c>
      <c r="F18" s="65"/>
      <c r="G18" s="65" t="n">
        <f aca="false">(((+'[9]West Power Trading'!G18+'[9]West Power A&amp;A'!G18)*1.2)/1.2)*1.1</f>
        <v>109560</v>
      </c>
      <c r="H18" s="65"/>
      <c r="I18" s="91" t="n">
        <f aca="false">+G18/$G$23</f>
        <v>0.0227434889495785</v>
      </c>
      <c r="K18" s="0" t="s">
        <v>142</v>
      </c>
      <c r="L18" s="50" t="n">
        <v>54000</v>
      </c>
      <c r="M18" s="0" t="n">
        <v>0</v>
      </c>
      <c r="N18" s="50" t="n">
        <f aca="false">L18*M18</f>
        <v>0</v>
      </c>
      <c r="O18" s="65" t="n">
        <f aca="false">+G18/$G$29*$O$29</f>
        <v>4565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'[8]Executive Orig'!C19+[8]Trading!C19+[8]Origination!C19+'[8]Mid Market'!C19+[8]Services!C19+[8]Fundamentals!C19</f>
        <v>155845.37</v>
      </c>
      <c r="E19" s="67" t="n">
        <f aca="false">((C19/9)*12)*1.2</f>
        <v>249352.592</v>
      </c>
      <c r="F19" s="65"/>
      <c r="G19" s="65" t="n">
        <f aca="false">(((+'[9]West Power Trading'!G19+'[9]West Power A&amp;A'!G19)*1.2)/1.2)*1.1</f>
        <v>114400</v>
      </c>
      <c r="H19" s="65"/>
      <c r="I19" s="91" t="n">
        <f aca="false">+G19/$G$23</f>
        <v>0.0237482213931341</v>
      </c>
      <c r="K19" s="0" t="s">
        <v>145</v>
      </c>
      <c r="L19" s="50" t="n">
        <v>63000</v>
      </c>
      <c r="M19" s="0" t="n">
        <f aca="false">5</f>
        <v>5</v>
      </c>
      <c r="N19" s="50" t="n">
        <f aca="false">L19*M19</f>
        <v>315000</v>
      </c>
      <c r="O19" s="65" t="n">
        <f aca="false">+G19/$G$29*$O$29</f>
        <v>4766.66666666667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'[8]Executive Orig'!C20+[8]Trading!C20+[8]Origination!C20+'[8]Mid Market'!C20+[8]Services!C20+[8]Fundamentals!C20</f>
        <v>116.15</v>
      </c>
      <c r="E20" s="67" t="n">
        <f aca="false">((C20/9)*12)*1.2</f>
        <v>185.84</v>
      </c>
      <c r="F20" s="65"/>
      <c r="G20" s="65" t="n">
        <f aca="false">(((+'[9]West Power Trading'!G20+'[9]West Power A&amp;A'!G20)*1.2)/1.2)*1.1</f>
        <v>0</v>
      </c>
      <c r="H20" s="65"/>
      <c r="I20" s="91" t="n">
        <f aca="false">+G20/$G$23</f>
        <v>0</v>
      </c>
      <c r="K20" s="0" t="s">
        <v>148</v>
      </c>
      <c r="L20" s="50" t="n">
        <v>78000</v>
      </c>
      <c r="M20" s="0" t="n">
        <f aca="false">1</f>
        <v>1</v>
      </c>
      <c r="N20" s="50" t="n">
        <f aca="false">L20*M20</f>
        <v>78000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'[8]Executive Orig'!C21+[8]Trading!C21+[8]Origination!C21+'[8]Mid Market'!C21+[8]Services!C21+[8]Fundamentals!C21</f>
        <v>566869.93</v>
      </c>
      <c r="E21" s="67" t="n">
        <f aca="false">((C21/9)*12)*1.2</f>
        <v>906991.888</v>
      </c>
      <c r="F21" s="65"/>
      <c r="G21" s="65" t="n">
        <f aca="false">(((+'[9]West Power Trading'!G21+'[9]West Power A&amp;A'!G21)*1.2)/1.2)*1.1</f>
        <v>93500</v>
      </c>
      <c r="H21" s="65"/>
      <c r="I21" s="91" t="n">
        <f aca="false">+G21/$G$23</f>
        <v>0.0194096040232346</v>
      </c>
      <c r="K21" s="0" t="s">
        <v>151</v>
      </c>
      <c r="L21" s="50" t="n">
        <v>66000</v>
      </c>
      <c r="M21" s="0" t="n">
        <f aca="false">7</f>
        <v>7</v>
      </c>
      <c r="N21" s="50" t="n">
        <f aca="false">L21*M21</f>
        <v>462000</v>
      </c>
      <c r="O21" s="65" t="n">
        <f aca="false">+G21/$G$29*$O$29</f>
        <v>3895.83333333333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'[8]Executive Orig'!C22+[8]Trading!C22+[8]Origination!C22+'[8]Mid Market'!C22+[8]Services!C22+[8]Fundamentals!C22</f>
        <v>75709.65</v>
      </c>
      <c r="E22" s="67" t="n">
        <f aca="false">((C22/9)*12)*1.2</f>
        <v>121135.44</v>
      </c>
      <c r="F22" s="65"/>
      <c r="G22" s="65" t="n">
        <f aca="false">(((+'[9]West Power Trading'!G22+'[9]West Power A&amp;A'!G22)*1.2)/1.2)*1.1</f>
        <v>35932.3102921348</v>
      </c>
      <c r="H22" s="65"/>
      <c r="I22" s="91" t="n">
        <f aca="false">+G22/$G$23</f>
        <v>0.00745916486000359</v>
      </c>
      <c r="K22" s="0" t="s">
        <v>154</v>
      </c>
      <c r="L22" s="50" t="n">
        <v>97200</v>
      </c>
      <c r="M22" s="0" t="n">
        <f aca="false">1</f>
        <v>1</v>
      </c>
      <c r="N22" s="50" t="n">
        <f aca="false">L22*M22</f>
        <v>97200</v>
      </c>
      <c r="O22" s="65" t="n">
        <f aca="false">+G22/$G$29*$O$29</f>
        <v>1497.17959550562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4817202.85937179</v>
      </c>
      <c r="H23" s="76"/>
      <c r="I23" s="97" t="n">
        <f aca="false">SUM(I8:I22)</f>
        <v>1</v>
      </c>
      <c r="K23" s="0" t="s">
        <v>157</v>
      </c>
      <c r="L23" s="50" t="n">
        <v>120000</v>
      </c>
      <c r="M23" s="0" t="n">
        <f aca="false">5</f>
        <v>5</v>
      </c>
      <c r="N23" s="50" t="n">
        <f aca="false">L23*M23</f>
        <v>600000</v>
      </c>
      <c r="O23" s="74" t="n">
        <f aca="false">SUM(O8:O22)</f>
        <v>200716.785807158</v>
      </c>
    </row>
    <row r="24" customFormat="false" ht="12.75" hidden="false" customHeight="false" outlineLevel="0" collapsed="false">
      <c r="K24" s="0" t="s">
        <v>158</v>
      </c>
      <c r="L24" s="50" t="n">
        <v>156000</v>
      </c>
      <c r="M24" s="0" t="n">
        <f aca="false">11</f>
        <v>11</v>
      </c>
      <c r="N24" s="50" t="n">
        <f aca="false">L24*M24</f>
        <v>1716000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'[8]Executive Orig'!E25+[8]Trading!E25+[8]Origination!E25+'[8]Mid Market'!E25+[8]Services!E25+[8]Fundamentals!E25</f>
        <v>74</v>
      </c>
      <c r="F25" s="65"/>
      <c r="G25" s="77" t="n">
        <f aca="false">+'[9]West Power Trading'!G25+'[9]West Power A&amp;A'!G25</f>
        <v>16</v>
      </c>
      <c r="H25" s="65"/>
      <c r="K25" s="0" t="s">
        <v>159</v>
      </c>
      <c r="L25" s="50" t="n">
        <v>180000</v>
      </c>
      <c r="M25" s="0" t="n">
        <v>0</v>
      </c>
      <c r="N25" s="50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G26" s="65"/>
      <c r="H26" s="65"/>
      <c r="K26" s="0" t="s">
        <v>160</v>
      </c>
      <c r="L26" s="50" t="n">
        <v>216000</v>
      </c>
      <c r="M26" s="0" t="n">
        <f aca="false">4</f>
        <v>4</v>
      </c>
      <c r="N26" s="50" t="n">
        <f aca="false">L26*M26</f>
        <v>864000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'[8]Executive Orig'!E27+[8]Trading!E27+[8]Origination!E27+'[8]Mid Market'!E27+[8]Services!E27+[8]Fundamentals!E27</f>
        <v>15</v>
      </c>
      <c r="F27" s="65"/>
      <c r="G27" s="77" t="n">
        <f aca="false">+'[9]West Power Trading'!G27+'[9]West Power A&amp;A'!G27</f>
        <v>8</v>
      </c>
      <c r="H27" s="65"/>
      <c r="K27" s="0" t="s">
        <v>162</v>
      </c>
      <c r="L27" s="50" t="n">
        <v>240000</v>
      </c>
      <c r="M27" s="0" t="n">
        <f aca="false">2</f>
        <v>2</v>
      </c>
      <c r="N27" s="50" t="n">
        <f aca="false">L27*M27</f>
        <v>480000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50" t="n">
        <f aca="false">SUM(N16:N27)*1.2</f>
        <v>5891760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89</v>
      </c>
      <c r="F29" s="65"/>
      <c r="G29" s="77" t="n">
        <f aca="false">+G27+G25</f>
        <v>24</v>
      </c>
      <c r="H29" s="65"/>
      <c r="I29" s="50"/>
      <c r="O29" s="77" t="n">
        <v>1</v>
      </c>
    </row>
    <row r="31" customFormat="false" ht="12.75" hidden="false" customHeight="false" outlineLevel="0" collapsed="false">
      <c r="J31" s="17" t="s">
        <v>164</v>
      </c>
      <c r="K31" s="50"/>
      <c r="L31" s="50"/>
      <c r="M31" s="50"/>
    </row>
    <row r="32" customFormat="false" ht="12.75" hidden="true" customHeight="false" outlineLevel="0" collapsed="false">
      <c r="B32" s="64" t="s">
        <v>131</v>
      </c>
      <c r="C32" s="65" t="n">
        <v>677322</v>
      </c>
      <c r="K32" s="50"/>
      <c r="L32" s="50"/>
      <c r="M32" s="50"/>
    </row>
    <row r="33" customFormat="false" ht="12.75" hidden="false" customHeight="false" outlineLevel="0" collapsed="false">
      <c r="J33" s="79" t="s">
        <v>165</v>
      </c>
      <c r="K33" s="80" t="s">
        <v>166</v>
      </c>
      <c r="L33" s="80" t="s">
        <v>167</v>
      </c>
      <c r="M33" s="80" t="s">
        <v>110</v>
      </c>
      <c r="N33" s="80" t="s">
        <v>168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42</v>
      </c>
      <c r="N34" s="80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5" activeCellId="0" sqref="P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20.28"/>
    <col collapsed="false" customWidth="true" hidden="true" outlineLevel="0" max="17" min="17" style="0" width="20.85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51" t="str">
        <f aca="false">'[7]Team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217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'[8]Executive Orig'!C8+[8]Trading!C8+[8]Origination!C8+'[8]Mid Market'!C8+[8]Services!C8+[8]Fundamentals!C8</f>
        <v>4789958.99</v>
      </c>
      <c r="E8" s="65" t="n">
        <f aca="false">(C8/9)*12</f>
        <v>6386611.98666667</v>
      </c>
      <c r="F8" s="65"/>
      <c r="G8" s="65" t="n">
        <f aca="false">(((SUM(N16:N20,N23:N27))*1.2)/1.2)*1.1</f>
        <v>2085600</v>
      </c>
      <c r="H8" s="65"/>
      <c r="I8" s="91" t="n">
        <f aca="false">+G8/$G$23</f>
        <v>0.564601008030529</v>
      </c>
      <c r="K8" s="88" t="s">
        <v>120</v>
      </c>
      <c r="L8" s="50" t="n">
        <v>0</v>
      </c>
      <c r="M8" s="27" t="n">
        <v>64</v>
      </c>
      <c r="N8" s="92" t="n">
        <f aca="false">N28</f>
        <v>2275200</v>
      </c>
      <c r="O8" s="65" t="n">
        <f aca="false">+G8/$G$29*$O$29</f>
        <v>173800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'[8]Executive Orig'!C9+[8]Trading!C9+[8]Origination!C9+'[8]Mid Market'!C9+[8]Services!C9+[8]Fundamentals!C9</f>
        <v>1464000</v>
      </c>
      <c r="E9" s="65" t="n">
        <f aca="false">+C9</f>
        <v>1464000</v>
      </c>
      <c r="F9" s="65"/>
      <c r="G9" s="65" t="n">
        <v>0</v>
      </c>
      <c r="H9" s="65"/>
      <c r="I9" s="91" t="n">
        <f aca="false">+G9/$G$23</f>
        <v>0</v>
      </c>
      <c r="K9" s="88"/>
      <c r="L9" s="27"/>
      <c r="M9" s="27"/>
      <c r="N9" s="89"/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f aca="false">'[8]Executive Orig'!C10+[8]Trading!C10+[8]Origination!C10+'[8]Mid Market'!C10+[8]Services!C10+[8]Fundamentals!C10</f>
        <v>804567</v>
      </c>
      <c r="E10" s="65" t="n">
        <f aca="false">(C10/9)*12</f>
        <v>1072756</v>
      </c>
      <c r="F10" s="65"/>
      <c r="G10" s="65" t="n">
        <f aca="false">(((+N21+N22)*1.2)/1.2)*1.1</f>
        <v>0</v>
      </c>
      <c r="H10" s="65"/>
      <c r="I10" s="91" t="n">
        <f aca="false">+G10/$G$23</f>
        <v>0</v>
      </c>
      <c r="K10" s="88"/>
      <c r="L10" s="27"/>
      <c r="M10" s="27"/>
      <c r="N10" s="89"/>
      <c r="O10" s="65" t="n">
        <f aca="false">+G10/$G$29*$O$29</f>
        <v>0</v>
      </c>
      <c r="P10" s="82"/>
      <c r="Q10" s="82"/>
      <c r="R10" s="82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'[8]Executive Orig'!C11+[8]Trading!C11+[8]Origination!C11+'[8]Mid Market'!C11+[8]Services!C11+[8]Fundamentals!C11</f>
        <v>1096068.21</v>
      </c>
      <c r="E11" s="65" t="n">
        <f aca="false">(C11/9)*12</f>
        <v>1461424.28</v>
      </c>
      <c r="F11" s="65"/>
      <c r="G11" s="65" t="n">
        <f aca="false">(((+G8*0.2+(N21+N22)*0.2)*1.2)/1.2)*1.1</f>
        <v>458832</v>
      </c>
      <c r="H11" s="65"/>
      <c r="I11" s="91" t="n">
        <f aca="false">+G11/$G$23</f>
        <v>0.124212221766716</v>
      </c>
      <c r="K11" s="88" t="s">
        <v>83</v>
      </c>
      <c r="L11" s="80" t="n">
        <f aca="false">(E12+E13+E14+E15+E16+E17+E18+E19+E20+E21+E22)/E29</f>
        <v>47533.8552808989</v>
      </c>
      <c r="M11" s="27" t="n">
        <f aca="false">M28</f>
        <v>12</v>
      </c>
      <c r="N11" s="92" t="n">
        <f aca="false">L11*M11</f>
        <v>570406.263370786</v>
      </c>
      <c r="O11" s="65" t="n">
        <f aca="false">+G11/$G$29*$O$29</f>
        <v>38236</v>
      </c>
      <c r="P11" s="82"/>
      <c r="Q11" s="82"/>
      <c r="R11" s="82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'[8]Executive Orig'!C12+[8]Trading!C12+[8]Origination!C12+'[8]Mid Market'!C12+[8]Services!C12+[8]Fundamentals!C12</f>
        <v>658117.68</v>
      </c>
      <c r="E12" s="67" t="n">
        <f aca="false">((C12/9)*12)*1.2</f>
        <v>1052988.288</v>
      </c>
      <c r="F12" s="65"/>
      <c r="G12" s="65" t="n">
        <f aca="false">(((+E12/$E$29*$M$11)*1.2)/1.2)*1.1</f>
        <v>156173.543838202</v>
      </c>
      <c r="H12" s="65"/>
      <c r="I12" s="91" t="n">
        <f aca="false">+G12/$G$23</f>
        <v>0.0422783564819472</v>
      </c>
      <c r="K12" s="88"/>
      <c r="L12" s="27"/>
      <c r="M12" s="27"/>
      <c r="N12" s="89"/>
      <c r="O12" s="65" t="n">
        <f aca="false">+G12/$G$29*$O$29</f>
        <v>13014.4619865169</v>
      </c>
      <c r="P12" s="82"/>
      <c r="Q12" s="82"/>
      <c r="R12" s="82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'[8]Executive Orig'!C13+[8]Trading!C13+[8]Origination!C13+'[8]Mid Market'!C13+[8]Services!C13+[8]Fundamentals!C13</f>
        <v>719773.8</v>
      </c>
      <c r="E13" s="67" t="n">
        <f aca="false">((C13/9)*12)*1.2</f>
        <v>1151638.08</v>
      </c>
      <c r="F13" s="65"/>
      <c r="G13" s="65" t="n">
        <f aca="false">(((+(4000*12)*12)*1.2)/1.2)*1.1</f>
        <v>633600</v>
      </c>
      <c r="H13" s="65"/>
      <c r="I13" s="91" t="n">
        <f aca="false">+G13/$G$23</f>
        <v>0.171524356870034</v>
      </c>
      <c r="K13" s="93" t="s">
        <v>129</v>
      </c>
      <c r="L13" s="94"/>
      <c r="M13" s="94"/>
      <c r="N13" s="95" t="n">
        <f aca="false">N8+N11</f>
        <v>2845606.26337079</v>
      </c>
      <c r="O13" s="65" t="n">
        <f aca="false">+G13/$G$29*$O$29</f>
        <v>52800</v>
      </c>
      <c r="P13" s="82"/>
      <c r="Q13" s="82"/>
      <c r="R13" s="82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'[8]Executive Orig'!C14+[8]Trading!C14+[8]Origination!C14+'[8]Mid Market'!C14+[8]Services!C14+[8]Fundamentals!C14-C32</f>
        <v>0.239999999757856</v>
      </c>
      <c r="E14" s="67" t="n">
        <f aca="false">((C14/9)*12)*1.2</f>
        <v>0.38399999961257</v>
      </c>
      <c r="F14" s="65"/>
      <c r="G14" s="65" t="n">
        <v>55000</v>
      </c>
      <c r="H14" s="65"/>
      <c r="I14" s="91" t="n">
        <f aca="false">+G14/$G$23</f>
        <v>0.0148892670894127</v>
      </c>
      <c r="O14" s="65" t="n">
        <f aca="false">+G14/$G$29*$O$29</f>
        <v>4583.33333333333</v>
      </c>
      <c r="P14" s="82"/>
      <c r="Q14" s="82"/>
      <c r="R14" s="82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'[8]Executive Orig'!C15+[8]Trading!C15+[8]Origination!C15+'[8]Mid Market'!C15+[8]Services!C15+[8]Fundamentals!C15</f>
        <v>128890.14</v>
      </c>
      <c r="E15" s="67" t="n">
        <f aca="false">((C15/9)*12)*1.2</f>
        <v>206224.224</v>
      </c>
      <c r="F15" s="65"/>
      <c r="G15" s="65" t="n">
        <v>34848</v>
      </c>
      <c r="H15" s="65"/>
      <c r="I15" s="91" t="n">
        <f aca="false">+G15/$G$23</f>
        <v>0.00943383962785188</v>
      </c>
      <c r="O15" s="65" t="n">
        <f aca="false">+G15/$G$29*$O$29</f>
        <v>2904</v>
      </c>
      <c r="P15" s="82"/>
      <c r="Q15" s="82"/>
      <c r="R15" s="82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'[8]Executive Orig'!C16+[8]Trading!C16+[8]Origination!C16+'[8]Mid Market'!C16+[8]Services!C16+[8]Fundamentals!C16</f>
        <v>0</v>
      </c>
      <c r="E16" s="67" t="n">
        <f aca="false">((C16/9)*12)*1.2</f>
        <v>0</v>
      </c>
      <c r="F16" s="65"/>
      <c r="G16" s="65" t="n">
        <f aca="false">(((+E16/$E$29*$M$11)*1.2)/1.2)*1.1</f>
        <v>0</v>
      </c>
      <c r="H16" s="65"/>
      <c r="I16" s="91" t="n">
        <f aca="false">+G16/$G$23</f>
        <v>0</v>
      </c>
      <c r="K16" s="0" t="s">
        <v>193</v>
      </c>
      <c r="L16" s="50" t="n">
        <v>33600</v>
      </c>
      <c r="M16" s="0" t="n">
        <v>0</v>
      </c>
      <c r="N16" s="50" t="n">
        <f aca="false">L16*M16</f>
        <v>0</v>
      </c>
      <c r="O16" s="65" t="n">
        <f aca="false">+G16/$G$29*$O$29</f>
        <v>0</v>
      </c>
      <c r="P16" s="82"/>
      <c r="Q16" s="82"/>
      <c r="R16" s="82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'[8]Executive Orig'!C17+[8]Trading!C17+[8]Origination!C17+'[8]Mid Market'!C17+[8]Services!C17+[8]Fundamentals!C17</f>
        <v>11300</v>
      </c>
      <c r="E17" s="67" t="n">
        <f aca="false">((C17/9)*12)*1.2</f>
        <v>18080</v>
      </c>
      <c r="F17" s="65"/>
      <c r="G17" s="65" t="n">
        <f aca="false">(((+E17/$E$29*$M$11)*1.2)/1.2)*1.1</f>
        <v>2681.52808988764</v>
      </c>
      <c r="H17" s="65"/>
      <c r="I17" s="91" t="n">
        <f aca="false">+G17/$G$23</f>
        <v>0.000725927053419995</v>
      </c>
      <c r="K17" s="0" t="s">
        <v>139</v>
      </c>
      <c r="L17" s="50" t="n">
        <v>52800</v>
      </c>
      <c r="M17" s="0" t="n">
        <v>0</v>
      </c>
      <c r="N17" s="50" t="n">
        <f aca="false">L17*M17</f>
        <v>0</v>
      </c>
      <c r="O17" s="65" t="n">
        <f aca="false">+G17/$G$29*$O$29</f>
        <v>223.460674157303</v>
      </c>
      <c r="P17" s="82"/>
      <c r="Q17" s="82"/>
      <c r="R17" s="82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'[8]Executive Orig'!C18+[8]Trading!C18+[8]Origination!C18+'[8]Mid Market'!C18+[8]Services!C18+[8]Fundamentals!C18</f>
        <v>327447.74</v>
      </c>
      <c r="E18" s="67" t="n">
        <f aca="false">((C18/9)*12)*1.2</f>
        <v>523916.384</v>
      </c>
      <c r="F18" s="65"/>
      <c r="G18" s="65" t="n">
        <f aca="false">(((+E18/$E$29*$M$11)*1.2)/1.2)*1.1</f>
        <v>77704.452458427</v>
      </c>
      <c r="H18" s="65"/>
      <c r="I18" s="91" t="n">
        <f aca="false">+G18/$G$23</f>
        <v>0.0210356790307289</v>
      </c>
      <c r="K18" s="0" t="s">
        <v>142</v>
      </c>
      <c r="L18" s="50" t="n">
        <v>54000</v>
      </c>
      <c r="M18" s="0" t="n">
        <v>0</v>
      </c>
      <c r="N18" s="50" t="n">
        <f aca="false">L18*M18</f>
        <v>0</v>
      </c>
      <c r="O18" s="65" t="n">
        <f aca="false">+G18/$G$29*$O$29</f>
        <v>6475.37103820225</v>
      </c>
      <c r="P18" s="82"/>
      <c r="Q18" s="82"/>
      <c r="R18" s="82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'[8]Executive Orig'!C19+[8]Trading!C19+[8]Origination!C19+'[8]Mid Market'!C19+[8]Services!C19+[8]Fundamentals!C19</f>
        <v>155845.37</v>
      </c>
      <c r="E19" s="67" t="n">
        <f aca="false">((C19/9)*12)*1.2</f>
        <v>249352.592</v>
      </c>
      <c r="F19" s="65"/>
      <c r="G19" s="65" t="n">
        <f aca="false">(((+E19/$E$29*$M$11)*1.2)/1.2)*1.1</f>
        <v>36982.6316224719</v>
      </c>
      <c r="H19" s="65"/>
      <c r="I19" s="91" t="n">
        <f aca="false">+G19/$G$23</f>
        <v>0.0100117141799335</v>
      </c>
      <c r="K19" s="0" t="s">
        <v>145</v>
      </c>
      <c r="L19" s="50" t="n">
        <v>63000</v>
      </c>
      <c r="M19" s="0" t="n">
        <v>0</v>
      </c>
      <c r="N19" s="50" t="n">
        <f aca="false">L19*M19</f>
        <v>0</v>
      </c>
      <c r="O19" s="65" t="n">
        <f aca="false">+G19/$G$29*$O$29</f>
        <v>3081.88596853933</v>
      </c>
      <c r="P19" s="82"/>
      <c r="Q19" s="82"/>
      <c r="R19" s="82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'[8]Executive Orig'!C20+[8]Trading!C20+[8]Origination!C20+'[8]Mid Market'!C20+[8]Services!C20+[8]Fundamentals!C20</f>
        <v>116.15</v>
      </c>
      <c r="E20" s="67" t="n">
        <f aca="false">((C20/9)*12)*1.2</f>
        <v>185.84</v>
      </c>
      <c r="F20" s="65"/>
      <c r="G20" s="65" t="n">
        <f aca="false">(((+E20/$E$29*$M$11)*1.2)/1.2)*1.1</f>
        <v>27.5627865168539</v>
      </c>
      <c r="H20" s="65"/>
      <c r="I20" s="91" t="n">
        <f aca="false">+G20/$G$23</f>
        <v>7.46163073050729E-006</v>
      </c>
      <c r="K20" s="0" t="s">
        <v>148</v>
      </c>
      <c r="L20" s="50" t="n">
        <v>78000</v>
      </c>
      <c r="M20" s="0" t="n">
        <v>0</v>
      </c>
      <c r="N20" s="50" t="n">
        <f aca="false">L20*M20</f>
        <v>0</v>
      </c>
      <c r="O20" s="65" t="n">
        <f aca="false">+G20/$G$29*$O$29</f>
        <v>2.2968988764045</v>
      </c>
      <c r="P20" s="82"/>
      <c r="Q20" s="82"/>
      <c r="R20" s="82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'[8]Executive Orig'!C21+[8]Trading!C21+[8]Origination!C21+'[8]Mid Market'!C21+[8]Services!C21+[8]Fundamentals!C21</f>
        <v>566869.93</v>
      </c>
      <c r="E21" s="67" t="n">
        <f aca="false">((C21/9)*12)*1.2</f>
        <v>906991.888</v>
      </c>
      <c r="F21" s="65"/>
      <c r="G21" s="65" t="n">
        <f aca="false">(((+E21/$E$29*$M$11)*1.2)/1.2)*1.1</f>
        <v>134520.145186517</v>
      </c>
      <c r="H21" s="65"/>
      <c r="I21" s="91" t="n">
        <f aca="false">+G21/$G$23</f>
        <v>0.0364164794652477</v>
      </c>
      <c r="K21" s="0" t="s">
        <v>151</v>
      </c>
      <c r="L21" s="50" t="n">
        <v>66000</v>
      </c>
      <c r="M21" s="0" t="n">
        <v>0</v>
      </c>
      <c r="N21" s="50" t="n">
        <f aca="false">L21*M21</f>
        <v>0</v>
      </c>
      <c r="O21" s="65" t="n">
        <f aca="false">+G21/$G$29*$O$29</f>
        <v>11210.0120988764</v>
      </c>
      <c r="P21" s="82"/>
      <c r="Q21" s="82"/>
      <c r="R21" s="82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'[8]Executive Orig'!C22+[8]Trading!C22+[8]Origination!C22+'[8]Mid Market'!C22+[8]Services!C22+[8]Fundamentals!C22</f>
        <v>75709.65</v>
      </c>
      <c r="E22" s="67" t="n">
        <f aca="false">((C22/9)*12)*1.2</f>
        <v>121135.44</v>
      </c>
      <c r="F22" s="65"/>
      <c r="G22" s="65" t="n">
        <f aca="false">(((+E22/$E$29*$M$11)*1.2)/1.2)*1.1</f>
        <v>17966.1551460674</v>
      </c>
      <c r="H22" s="65"/>
      <c r="I22" s="91" t="n">
        <f aca="false">+G22/$G$23</f>
        <v>0.00486368877344771</v>
      </c>
      <c r="K22" s="0" t="s">
        <v>154</v>
      </c>
      <c r="L22" s="50" t="n">
        <v>97200</v>
      </c>
      <c r="M22" s="0" t="n">
        <v>0</v>
      </c>
      <c r="N22" s="50" t="n">
        <f aca="false">L22*M22</f>
        <v>0</v>
      </c>
      <c r="O22" s="65" t="n">
        <f aca="false">+G22/$G$29*$O$29</f>
        <v>1497.17959550562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3693936.01912809</v>
      </c>
      <c r="H23" s="76"/>
      <c r="I23" s="97" t="n">
        <f aca="false">SUM(I8:I22)</f>
        <v>1</v>
      </c>
      <c r="K23" s="0" t="s">
        <v>157</v>
      </c>
      <c r="L23" s="50" t="n">
        <v>120000</v>
      </c>
      <c r="M23" s="0" t="n">
        <v>5</v>
      </c>
      <c r="N23" s="50" t="n">
        <f aca="false">L23*M23</f>
        <v>600000</v>
      </c>
      <c r="O23" s="74" t="n">
        <f aca="false">SUM(O8:O22)</f>
        <v>307828.001594008</v>
      </c>
    </row>
    <row r="24" customFormat="false" ht="12.75" hidden="false" customHeight="false" outlineLevel="0" collapsed="false">
      <c r="K24" s="0" t="s">
        <v>158</v>
      </c>
      <c r="L24" s="50" t="n">
        <v>156000</v>
      </c>
      <c r="M24" s="0" t="n">
        <v>4</v>
      </c>
      <c r="N24" s="50" t="n">
        <f aca="false">L24*M24</f>
        <v>624000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'[8]Executive Orig'!E25+[8]Trading!E25+[8]Origination!E25+'[8]Mid Market'!E25+[8]Services!E25+[8]Fundamentals!E25</f>
        <v>74</v>
      </c>
      <c r="F25" s="65"/>
      <c r="G25" s="77" t="n">
        <f aca="false">SUM(M16:M20,M23:M27)</f>
        <v>12</v>
      </c>
      <c r="H25" s="65"/>
      <c r="K25" s="0" t="s">
        <v>159</v>
      </c>
      <c r="L25" s="50" t="n">
        <v>180000</v>
      </c>
      <c r="M25" s="0" t="n">
        <v>0</v>
      </c>
      <c r="N25" s="50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G26" s="65"/>
      <c r="H26" s="65"/>
      <c r="K26" s="0" t="s">
        <v>160</v>
      </c>
      <c r="L26" s="50" t="n">
        <v>216000</v>
      </c>
      <c r="M26" s="0" t="n">
        <v>2</v>
      </c>
      <c r="N26" s="50" t="n">
        <f aca="false">L26*M26</f>
        <v>432000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'[8]Executive Orig'!E27+[8]Trading!E27+[8]Origination!E27+'[8]Mid Market'!E27+[8]Services!E27+[8]Fundamentals!E27</f>
        <v>15</v>
      </c>
      <c r="F27" s="65"/>
      <c r="G27" s="77" t="n">
        <f aca="false">+M21+M22</f>
        <v>0</v>
      </c>
      <c r="H27" s="65"/>
      <c r="K27" s="0" t="s">
        <v>162</v>
      </c>
      <c r="L27" s="50" t="n">
        <v>240000</v>
      </c>
      <c r="M27" s="0" t="n">
        <v>1</v>
      </c>
      <c r="N27" s="50" t="n">
        <f aca="false">L27*M27</f>
        <v>240000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12</v>
      </c>
      <c r="N28" s="50" t="n">
        <f aca="false">SUM(N16:N27)*1.2</f>
        <v>2275200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89</v>
      </c>
      <c r="F29" s="65"/>
      <c r="G29" s="77" t="n">
        <f aca="false">+G27+G25</f>
        <v>12</v>
      </c>
      <c r="H29" s="65"/>
      <c r="I29" s="50"/>
      <c r="O29" s="77" t="n">
        <v>1</v>
      </c>
    </row>
    <row r="31" customFormat="false" ht="12.75" hidden="false" customHeight="false" outlineLevel="0" collapsed="false">
      <c r="J31" s="17" t="s">
        <v>164</v>
      </c>
      <c r="K31" s="50"/>
      <c r="L31" s="50"/>
      <c r="M31" s="50"/>
    </row>
    <row r="32" customFormat="false" ht="12.75" hidden="true" customHeight="false" outlineLevel="0" collapsed="false">
      <c r="B32" s="64" t="s">
        <v>131</v>
      </c>
      <c r="C32" s="65" t="n">
        <v>677322</v>
      </c>
      <c r="K32" s="50"/>
      <c r="L32" s="50"/>
      <c r="M32" s="50"/>
    </row>
    <row r="33" customFormat="false" ht="12.75" hidden="false" customHeight="false" outlineLevel="0" collapsed="false">
      <c r="J33" s="79" t="s">
        <v>165</v>
      </c>
      <c r="K33" s="80" t="s">
        <v>166</v>
      </c>
      <c r="L33" s="80" t="s">
        <v>167</v>
      </c>
      <c r="M33" s="80" t="s">
        <v>110</v>
      </c>
      <c r="N33" s="80" t="s">
        <v>168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12</v>
      </c>
      <c r="N34" s="80" t="n">
        <f aca="false">+L34*M34</f>
        <v>570406.263370786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P155" activeCellId="0" sqref="P1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218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(((+'Canada Trading'!G8+'Canada A&amp;A-Trading'!G8)*1.2)/1.2)*1.1</f>
        <v>660000</v>
      </c>
      <c r="H8" s="88" t="s">
        <v>120</v>
      </c>
      <c r="I8" s="50" t="n">
        <v>0</v>
      </c>
      <c r="J8" s="27"/>
      <c r="K8" s="92" t="n">
        <f aca="false">K28</f>
        <v>1128000</v>
      </c>
      <c r="O8" s="65" t="n">
        <f aca="false">+G8/$G$29*$O$29</f>
        <v>55000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f aca="false">(((+'Canada Trading'!G9+'Canada A&amp;A-Trading'!G9)*1.2)/1.2)*1.1</f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(((+'Canada Trading'!G10+'Canada A&amp;A-Trading'!G10)*1.2)/1.2)*1.1</f>
        <v>410640</v>
      </c>
      <c r="H10" s="88"/>
      <c r="J10" s="27"/>
      <c r="K10" s="89"/>
      <c r="O10" s="65" t="n">
        <f aca="false">+G10/$G$29*$O$29</f>
        <v>34220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(((+'Canada Trading'!G11+'Canada A&amp;A-Trading'!G11)*1.2)/1.2)*1.1</f>
        <v>159093.72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7</v>
      </c>
      <c r="K11" s="92" t="n">
        <f aca="false">I11*J11</f>
        <v>218774.55488</v>
      </c>
      <c r="O11" s="65" t="n">
        <f aca="false">+G11/$G$29*$O$29</f>
        <v>13257.81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(((+'Canada Trading'!G12+'Canada A&amp;A-Trading'!G12)*1.2+100000)/1.2)*1.1</f>
        <v>124842.026730667</v>
      </c>
      <c r="H12" s="88"/>
      <c r="J12" s="27"/>
      <c r="K12" s="89"/>
      <c r="O12" s="65" t="n">
        <f aca="false">+G12/$G$29*$O$29</f>
        <v>10403.5022275556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(((+'Canada Trading'!G13+'Canada A&amp;A-Trading'!G13)*1.2)/1.2)*1.1</f>
        <v>146791.242752</v>
      </c>
      <c r="H13" s="93" t="s">
        <v>129</v>
      </c>
      <c r="I13" s="69"/>
      <c r="J13" s="94"/>
      <c r="K13" s="95" t="n">
        <f aca="false">K8+K11</f>
        <v>1346774.55488</v>
      </c>
      <c r="O13" s="65" t="n">
        <f aca="false">+G13/$G$29*$O$29</f>
        <v>12232.6035626667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(((+'Canada Trading'!G14+'Canada A&amp;A-Trading'!G14)*1.2)/1.2)*1.1</f>
        <v>249228.662144</v>
      </c>
      <c r="O14" s="65" t="n">
        <f aca="false">+G14/$G$29*$O$29</f>
        <v>20769.0551786667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(((+'Canada Trading'!G15+'Canada A&amp;A-Trading'!G15)*1.2)/1.2)*1.1</f>
        <v>3167.432576</v>
      </c>
      <c r="O15" s="65" t="n">
        <f aca="false">+G15/$G$29*$O$29</f>
        <v>263.952714666667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(((+'Canada Trading'!G16+'Canada A&amp;A-Trading'!G16)*1.2)/1.2)*1.1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(((+'Canada Trading'!G17+'Canada A&amp;A-Trading'!G17)*1.2)/1.2)*1.1</f>
        <v>928.247936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77.3539946666667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(((+'Canada Trading'!G18+'Canada A&amp;A-Trading'!G18)*1.2)/1.2)*1.1</f>
        <v>9465.909376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788.825781333334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(((+'Canada Trading'!G19+'Canada A&amp;A-Trading'!G19)*1.2)/1.2)*1.1</f>
        <v>25795.537152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2149.628096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(((+'Canada Trading'!G20+'Canada A&amp;A-Trading'!G20)*1.2)/1.2)*1.1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(((+'Canada Trading'!G21+'Canada A&amp;A-Trading'!G21)*1.2)/1.2)*1.1</f>
        <v>9742.24697600002</v>
      </c>
      <c r="H21" s="0" t="s">
        <v>151</v>
      </c>
      <c r="I21" s="50" t="n">
        <v>66000</v>
      </c>
      <c r="J21" s="0" t="n">
        <v>0</v>
      </c>
      <c r="K21" s="0" t="n">
        <f aca="false">I21*J21</f>
        <v>0</v>
      </c>
      <c r="O21" s="65" t="n">
        <f aca="false">+G21/$G$29*$O$29</f>
        <v>811.853914666669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(((+'Canada Trading'!G22+'Canada A&amp;A-Trading'!G22)*1.2)/1.2)*1.1</f>
        <v>3009.38176</v>
      </c>
      <c r="H22" s="0" t="s">
        <v>154</v>
      </c>
      <c r="I22" s="50" t="n">
        <v>97200</v>
      </c>
      <c r="J22" s="0" t="n">
        <v>0</v>
      </c>
      <c r="K22" s="0" t="n">
        <f aca="false">I22*J22</f>
        <v>0</v>
      </c>
      <c r="O22" s="65" t="n">
        <f aca="false">+G22/$G$29*$O$29</f>
        <v>250.781813333334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1802704.40740267</v>
      </c>
      <c r="H23" s="0" t="s">
        <v>157</v>
      </c>
      <c r="I23" s="50" t="n">
        <v>120000</v>
      </c>
      <c r="J23" s="0" t="n">
        <v>3</v>
      </c>
      <c r="K23" s="0" t="n">
        <f aca="false">I23*J23</f>
        <v>360000</v>
      </c>
      <c r="O23" s="74" t="n">
        <f aca="false">SUM(O8:O22)</f>
        <v>150225.367283556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2</v>
      </c>
      <c r="K24" s="0" t="n">
        <f aca="false">I24*J24</f>
        <v>312000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v>5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1</v>
      </c>
      <c r="K26" s="0" t="n">
        <f aca="false">I26*J26</f>
        <v>216000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+'Canada Trading'!G27+'Canada A&amp;A-Trading'!G27</f>
        <v>7</v>
      </c>
      <c r="H27" s="0" t="s">
        <v>220</v>
      </c>
      <c r="I27" s="50" t="n">
        <v>240000</v>
      </c>
      <c r="J27" s="0" t="n">
        <v>1</v>
      </c>
      <c r="K27" s="0" t="n">
        <f aca="false">I27*J27</f>
        <v>240000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12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7</v>
      </c>
      <c r="K34" s="80" t="n">
        <f aca="false">+I34*J34</f>
        <v>218774.55488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20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P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P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234685</v>
      </c>
      <c r="I8" s="59" t="s">
        <v>120</v>
      </c>
      <c r="J8" s="50" t="n">
        <v>0</v>
      </c>
      <c r="L8" s="60" t="n">
        <f aca="false">L30</f>
        <v>364320</v>
      </c>
      <c r="P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P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0</v>
      </c>
      <c r="I10" s="59"/>
      <c r="L10" s="60"/>
      <c r="P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v>45540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2</v>
      </c>
      <c r="L11" s="60" t="n">
        <f aca="false">J11*K11</f>
        <v>96540.3625</v>
      </c>
      <c r="P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15000</v>
      </c>
      <c r="I12" s="59"/>
      <c r="L12" s="60"/>
      <c r="P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50000</v>
      </c>
      <c r="I13" s="68" t="s">
        <v>129</v>
      </c>
      <c r="J13" s="69"/>
      <c r="K13" s="69"/>
      <c r="L13" s="70" t="n">
        <f aca="false">L8+L11</f>
        <v>460860.3625</v>
      </c>
      <c r="O13" s="71"/>
      <c r="P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P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5000</v>
      </c>
      <c r="P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P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98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P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25000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P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15000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P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2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P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5000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O21" s="27"/>
      <c r="P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27"/>
      <c r="P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395325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O23" s="27"/>
      <c r="P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1</v>
      </c>
      <c r="L24" s="50" t="n">
        <f aca="false">J24*K24</f>
        <v>143000</v>
      </c>
      <c r="O24" s="27"/>
      <c r="P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2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27"/>
      <c r="P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O26" s="27"/>
      <c r="P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27"/>
      <c r="P27" s="65"/>
    </row>
    <row r="28" customFormat="false" ht="12.75" hidden="false" customHeight="false" outlineLevel="0" collapsed="false">
      <c r="K28" s="50" t="n">
        <f aca="false">SUM(K16:K27)</f>
        <v>2</v>
      </c>
      <c r="L28" s="50" t="n">
        <f aca="false">SUM(L16:L27)*1.2</f>
        <v>303600</v>
      </c>
      <c r="O28" s="27"/>
      <c r="P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2</v>
      </c>
      <c r="L29" s="78" t="n">
        <v>0.2</v>
      </c>
      <c r="O29" s="27"/>
      <c r="P29" s="65"/>
    </row>
    <row r="30" customFormat="false" ht="12.75" hidden="true" customHeight="false" outlineLevel="0" collapsed="false">
      <c r="L30" s="50" t="n">
        <f aca="false">L28*1.2</f>
        <v>364320</v>
      </c>
      <c r="O30" s="27"/>
      <c r="P30" s="27"/>
    </row>
    <row r="31" customFormat="false" ht="12.75" hidden="true" customHeight="false" outlineLevel="0" collapsed="false">
      <c r="H31" s="17" t="s">
        <v>164</v>
      </c>
      <c r="L31" s="0"/>
      <c r="O31" s="27"/>
      <c r="P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  <c r="P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  <c r="P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2</v>
      </c>
      <c r="L34" s="80" t="n">
        <f aca="false">+J34*K34</f>
        <v>96540.3625</v>
      </c>
      <c r="O34" s="27"/>
      <c r="P34" s="27"/>
    </row>
    <row r="35" customFormat="false" ht="12.75" hidden="true" customHeight="false" outlineLevel="0" collapsed="false">
      <c r="O35" s="27"/>
      <c r="P35" s="27"/>
    </row>
    <row r="36" customFormat="false" ht="12.75" hidden="true" customHeight="false" outlineLevel="0" collapsed="false">
      <c r="O36" s="27"/>
      <c r="P36" s="27"/>
    </row>
    <row r="37" customFormat="false" ht="12.75" hidden="true" customHeight="false" outlineLevel="0" collapsed="false">
      <c r="O37" s="27"/>
      <c r="P37" s="27"/>
    </row>
    <row r="38" customFormat="false" ht="12.75" hidden="true" customHeight="false" outlineLevel="0" collapsed="false">
      <c r="O38" s="27"/>
      <c r="P38" s="27"/>
    </row>
    <row r="39" customFormat="false" ht="12.75" hidden="false" customHeight="false" outlineLevel="0" collapsed="false">
      <c r="O39" s="27"/>
      <c r="P39" s="27"/>
    </row>
    <row r="41" customFormat="false" ht="12.75" hidden="false" customHeight="false" outlineLevel="0" collapsed="false">
      <c r="B41" s="0" t="s">
        <v>169</v>
      </c>
      <c r="H41" s="0" t="s">
        <v>158</v>
      </c>
    </row>
    <row r="42" customFormat="false" ht="12.75" hidden="false" customHeight="false" outlineLevel="0" collapsed="false">
      <c r="B42" s="0" t="s">
        <v>170</v>
      </c>
      <c r="H42" s="0" t="s">
        <v>157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218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K28-G10-137496-390504</f>
        <v>600000</v>
      </c>
      <c r="H8" s="88" t="s">
        <v>120</v>
      </c>
      <c r="I8" s="50" t="n">
        <v>0</v>
      </c>
      <c r="J8" s="27"/>
      <c r="K8" s="92" t="n">
        <f aca="false">K28</f>
        <v>1128000</v>
      </c>
      <c r="O8" s="65" t="n">
        <f aca="false">+G8/$G$29*$O$29</f>
        <v>85714.2857142857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</f>
        <v>0</v>
      </c>
      <c r="H10" s="88"/>
      <c r="J10" s="27"/>
      <c r="K10" s="89"/>
      <c r="O10" s="65" t="n">
        <f aca="false">+G10/$G$29*$O$29</f>
        <v>0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G8*0.3105+52-96352</f>
        <v>90000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7</v>
      </c>
      <c r="K11" s="92" t="n">
        <f aca="false">I11*J11</f>
        <v>218774.55488</v>
      </c>
      <c r="O11" s="65" t="n">
        <f aca="false">+G11/$G$29*$O$29</f>
        <v>12857.1428571429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15079.70912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66723.29216</v>
      </c>
      <c r="H13" s="93" t="s">
        <v>129</v>
      </c>
      <c r="I13" s="69"/>
      <c r="J13" s="94"/>
      <c r="K13" s="95" t="n">
        <f aca="false">K8+K11</f>
        <v>1346774.55488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113285.75552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1439.74208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421.93088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4302.68608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11725.24416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4428.29408000001</v>
      </c>
      <c r="H21" s="0" t="s">
        <v>151</v>
      </c>
      <c r="I21" s="50" t="n">
        <v>66000</v>
      </c>
      <c r="J21" s="0" t="n">
        <v>0</v>
      </c>
      <c r="K21" s="0" t="n">
        <f aca="false">I21*J21</f>
        <v>0</v>
      </c>
      <c r="O21" s="65" t="n">
        <f aca="false">+G21/$G$29*$O$29</f>
        <v>632.613440000002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1367.9008</v>
      </c>
      <c r="H22" s="0" t="s">
        <v>154</v>
      </c>
      <c r="I22" s="50" t="n">
        <v>97200</v>
      </c>
      <c r="J22" s="0" t="n">
        <v>0</v>
      </c>
      <c r="K22" s="0" t="n">
        <f aca="false">I22*J22</f>
        <v>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908774.55488</v>
      </c>
      <c r="H23" s="0" t="s">
        <v>157</v>
      </c>
      <c r="I23" s="50" t="n">
        <v>120000</v>
      </c>
      <c r="J23" s="0" t="n">
        <v>3</v>
      </c>
      <c r="K23" s="0" t="n">
        <f aca="false">I23*J23</f>
        <v>360000</v>
      </c>
      <c r="O23" s="74" t="n">
        <f aca="false">SUM(O8:O22)</f>
        <v>129824.936411429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2</v>
      </c>
      <c r="K24" s="0" t="n">
        <f aca="false">I24*J24</f>
        <v>312000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7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1</v>
      </c>
      <c r="K26" s="0" t="n">
        <f aca="false">I26*J26</f>
        <v>216000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0</v>
      </c>
      <c r="H27" s="0" t="s">
        <v>220</v>
      </c>
      <c r="I27" s="50" t="n">
        <v>240000</v>
      </c>
      <c r="J27" s="0" t="n">
        <v>1</v>
      </c>
      <c r="K27" s="0" t="n">
        <f aca="false">I27*J27</f>
        <v>240000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7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7</v>
      </c>
      <c r="K34" s="80" t="n">
        <f aca="false">+I34*J34</f>
        <v>218774.55488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15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230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v>0</v>
      </c>
      <c r="H8" s="88" t="s">
        <v>120</v>
      </c>
      <c r="I8" s="50" t="n">
        <v>0</v>
      </c>
      <c r="J8" s="27"/>
      <c r="K8" s="92" t="n">
        <f aca="false">K28</f>
        <v>591840</v>
      </c>
      <c r="O8" s="65" t="n">
        <f aca="false">+G8/$G$29*$O$29</f>
        <v>0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K22+K21-(188400/11*7)</f>
        <v>373309.090909091</v>
      </c>
      <c r="H10" s="88"/>
      <c r="J10" s="27"/>
      <c r="K10" s="89"/>
      <c r="O10" s="65" t="n">
        <f aca="false">+G10/$G$29*$O$29</f>
        <v>53329.8701298701</v>
      </c>
      <c r="AK10" s="104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G10*0.3105-(96300/11*7)</f>
        <v>54630.6545454546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7</v>
      </c>
      <c r="K11" s="92" t="n">
        <f aca="false">I11*J11</f>
        <v>218774.55488</v>
      </c>
      <c r="O11" s="65" t="n">
        <f aca="false">+G11/$G$29*$O$29</f>
        <v>7804.37922077922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15079.70912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66723.29216</v>
      </c>
      <c r="H13" s="93" t="s">
        <v>129</v>
      </c>
      <c r="I13" s="69"/>
      <c r="J13" s="94"/>
      <c r="K13" s="95" t="n">
        <f aca="false">K8+K11</f>
        <v>810614.55488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113285.75552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1439.74208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421.93088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4302.68608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11725.24416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4428.29408000001</v>
      </c>
      <c r="H21" s="0" t="s">
        <v>151</v>
      </c>
      <c r="I21" s="50" t="n">
        <v>66000</v>
      </c>
      <c r="J21" s="0" t="n">
        <v>6</v>
      </c>
      <c r="K21" s="0" t="n">
        <f aca="false">I21*J21</f>
        <v>396000</v>
      </c>
      <c r="O21" s="65" t="n">
        <f aca="false">+G21/$G$29*$O$29</f>
        <v>632.613440000002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1367.9008</v>
      </c>
      <c r="H22" s="0" t="s">
        <v>154</v>
      </c>
      <c r="I22" s="50" t="n">
        <v>97200</v>
      </c>
      <c r="J22" s="0" t="n">
        <v>1</v>
      </c>
      <c r="K22" s="0" t="n">
        <f aca="false">I22*J22</f>
        <v>97200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646714.300334545</v>
      </c>
      <c r="H23" s="0" t="s">
        <v>157</v>
      </c>
      <c r="I23" s="50" t="n">
        <v>120000</v>
      </c>
      <c r="J23" s="0" t="n">
        <v>0</v>
      </c>
      <c r="K23" s="0" t="n">
        <f aca="false">I23*J23</f>
        <v>0</v>
      </c>
      <c r="O23" s="74" t="n">
        <f aca="false">SUM(O8:O22)</f>
        <v>92387.7571906494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0</v>
      </c>
      <c r="K24" s="0" t="n">
        <f aca="false">I24*J24</f>
        <v>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0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0</v>
      </c>
      <c r="K26" s="0" t="n">
        <f aca="false">I26*J26</f>
        <v>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7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SUM(K16:K27)*1.2</f>
        <v>591840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7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7</v>
      </c>
      <c r="K34" s="80" t="n">
        <f aca="false">+I34*J34</f>
        <v>218774.55488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P155" activeCellId="0" sqref="P1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231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(((+'Canada Origination'!G8+'Canada A&amp;A-Orig'!G8)*1.2)/1.2)*1.1</f>
        <v>1650000</v>
      </c>
      <c r="H8" s="88" t="s">
        <v>120</v>
      </c>
      <c r="I8" s="50" t="n">
        <v>0</v>
      </c>
      <c r="J8" s="27"/>
      <c r="K8" s="92" t="n">
        <f aca="false">K28</f>
        <v>1344000</v>
      </c>
      <c r="O8" s="65" t="n">
        <f aca="false">+G8/$G$29*$O$29</f>
        <v>110000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f aca="false">(((+'Canada Origination'!G9+'Canada A&amp;A-Orig'!G9)*1.2)/1.2)*1.1</f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(((+'Canada Origination'!G10+'Canada A&amp;A-Orig'!G10)*1.2)/1.2)*1.1</f>
        <v>249360</v>
      </c>
      <c r="H10" s="88"/>
      <c r="J10" s="27"/>
      <c r="K10" s="89"/>
      <c r="O10" s="65" t="n">
        <f aca="false">+G10/$G$29*$O$29</f>
        <v>16624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(((+'Canada Origination'!G11+'Canada A&amp;A-Orig'!G11)*1.2)/1.2)*1.1</f>
        <v>286406.28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9</v>
      </c>
      <c r="K11" s="92" t="n">
        <f aca="false">I11*J11</f>
        <v>281281.57056</v>
      </c>
      <c r="O11" s="65" t="n">
        <f aca="false">+G11/$G$29*$O$29</f>
        <v>19093.752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(((+'Canada Origination'!G12+'Canada A&amp;A-Orig'!G12)*1.2+100000)/1.2)*1.1</f>
        <v>122472.358154667</v>
      </c>
      <c r="H12" s="88"/>
      <c r="J12" s="27"/>
      <c r="K12" s="89"/>
      <c r="O12" s="65" t="n">
        <f aca="false">+G12/$G$29*$O$29</f>
        <v>8164.82387697778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(((+'Canada Origination'!G13+'Canada A&amp;A-Orig'!G13)*1.2)/1.2)*1.1</f>
        <v>136306.153984</v>
      </c>
      <c r="H13" s="93" t="s">
        <v>129</v>
      </c>
      <c r="I13" s="69"/>
      <c r="J13" s="94"/>
      <c r="K13" s="95" t="n">
        <f aca="false">K8+K11</f>
        <v>1625281.57056</v>
      </c>
      <c r="O13" s="65" t="n">
        <f aca="false">+G13/$G$29*$O$29</f>
        <v>9087.07693226667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(((+'Canada Origination'!G14+'Canada A&amp;A-Orig'!G14)*1.2)/1.2)*1.1</f>
        <v>231426.614848</v>
      </c>
      <c r="O14" s="65" t="n">
        <f aca="false">+G14/$G$29*$O$29</f>
        <v>15428.4409898667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(((+'Canada Origination'!G15+'Canada A&amp;A-Orig'!G15)*1.2)/1.2)*1.1</f>
        <v>2941.187392</v>
      </c>
      <c r="O15" s="65" t="n">
        <f aca="false">+G15/$G$29*$O$29</f>
        <v>196.079159466667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(((+'Canada Origination'!G16+'Canada A&amp;A-Orig'!G16)*1.2)/1.2)*1.1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(((+'Canada Origination'!G17+'Canada A&amp;A-Orig'!G17)*1.2)/1.2)*1.1</f>
        <v>861.944512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57.4629674666667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(((+'Canada Origination'!G18+'Canada A&amp;A-Orig'!G18)*1.2)/1.2)*1.1</f>
        <v>8789.772992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585.984866133333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(((+'Canada Origination'!G19+'Canada A&amp;A-Orig'!G19)*1.2)/1.2)*1.1</f>
        <v>23952.998784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1596.8665856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(((+'Canada Origination'!G20+'Canada A&amp;A-Orig'!G20)*1.2)/1.2)*1.1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(((+'Canada Origination'!G21+'Canada A&amp;A-Orig'!G21)*1.2)/1.2)*1.1</f>
        <v>9046.37219200002</v>
      </c>
      <c r="H21" s="0" t="s">
        <v>151</v>
      </c>
      <c r="I21" s="50" t="n">
        <v>66000</v>
      </c>
      <c r="J21" s="0" t="n">
        <v>0</v>
      </c>
      <c r="K21" s="0" t="n">
        <f aca="false">I21*J21</f>
        <v>0</v>
      </c>
      <c r="O21" s="65" t="n">
        <f aca="false">+G21/$G$29*$O$29</f>
        <v>603.091479466668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(((+'Canada Origination'!G22+'Canada A&amp;A-Orig'!G22)*1.2)/1.2)*1.1</f>
        <v>2794.42592</v>
      </c>
      <c r="H22" s="0" t="s">
        <v>154</v>
      </c>
      <c r="I22" s="50" t="n">
        <v>97200</v>
      </c>
      <c r="J22" s="0" t="n">
        <v>0</v>
      </c>
      <c r="K22" s="0" t="n">
        <f aca="false">I22*J22</f>
        <v>0</v>
      </c>
      <c r="O22" s="65" t="n">
        <f aca="false">+G22/$G$29*$O$29</f>
        <v>186.295061333334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2724358.10877867</v>
      </c>
      <c r="H23" s="0" t="s">
        <v>157</v>
      </c>
      <c r="I23" s="50" t="n">
        <v>120000</v>
      </c>
      <c r="J23" s="0" t="n">
        <v>5</v>
      </c>
      <c r="K23" s="0" t="n">
        <f aca="false">I23*J23</f>
        <v>600000</v>
      </c>
      <c r="O23" s="74" t="n">
        <f aca="false">SUM(O8:O22)</f>
        <v>181623.873918578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2</v>
      </c>
      <c r="K24" s="0" t="n">
        <f aca="false">I24*J24</f>
        <v>312000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v>11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2</v>
      </c>
      <c r="K26" s="0" t="n">
        <f aca="false">I26*J26</f>
        <v>432000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+'Canada Origination'!G27+'Canada A&amp;A-Orig'!G27</f>
        <v>4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15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9</v>
      </c>
      <c r="K34" s="80" t="n">
        <f aca="false">+I34*J34</f>
        <v>281281.57056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231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K28-G10-137496+293496</f>
        <v>1500000</v>
      </c>
      <c r="H8" s="88" t="s">
        <v>120</v>
      </c>
      <c r="I8" s="50" t="n">
        <v>0</v>
      </c>
      <c r="J8" s="27"/>
      <c r="K8" s="92" t="n">
        <f aca="false">K28</f>
        <v>1344000</v>
      </c>
      <c r="O8" s="65" t="n">
        <f aca="false">+G8/$G$29*$O$29</f>
        <v>166666.666666667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</f>
        <v>0</v>
      </c>
      <c r="H10" s="88"/>
      <c r="J10" s="27"/>
      <c r="K10" s="89"/>
      <c r="O10" s="65" t="n">
        <f aca="false">+G10/$G$29*$O$29</f>
        <v>0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G8*0.3105+52-240802</f>
        <v>225000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9</v>
      </c>
      <c r="K11" s="92" t="n">
        <f aca="false">I11*J11</f>
        <v>281281.57056</v>
      </c>
      <c r="O11" s="65" t="n">
        <f aca="false">+G11/$G$29*$O$29</f>
        <v>25000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19388.19744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85787.08992</v>
      </c>
      <c r="H13" s="93" t="s">
        <v>129</v>
      </c>
      <c r="I13" s="69"/>
      <c r="J13" s="94"/>
      <c r="K13" s="95" t="n">
        <f aca="false">K8+K11</f>
        <v>1625281.57056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145653.11424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1851.09696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542.48256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5532.02496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15075.31392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5693.52096000001</v>
      </c>
      <c r="H21" s="0" t="s">
        <v>151</v>
      </c>
      <c r="I21" s="50" t="n">
        <v>66000</v>
      </c>
      <c r="J21" s="0" t="n">
        <v>0</v>
      </c>
      <c r="K21" s="0" t="n">
        <f aca="false">I21*J21</f>
        <v>0</v>
      </c>
      <c r="O21" s="65" t="n">
        <f aca="false">+G21/$G$29*$O$29</f>
        <v>632.613440000001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1758.7296</v>
      </c>
      <c r="H22" s="0" t="s">
        <v>154</v>
      </c>
      <c r="I22" s="50" t="n">
        <v>97200</v>
      </c>
      <c r="J22" s="0" t="n">
        <v>0</v>
      </c>
      <c r="K22" s="0" t="n">
        <f aca="false">I22*J22</f>
        <v>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2006281.57056</v>
      </c>
      <c r="H23" s="0" t="s">
        <v>157</v>
      </c>
      <c r="I23" s="50" t="n">
        <v>120000</v>
      </c>
      <c r="J23" s="0" t="n">
        <v>5</v>
      </c>
      <c r="K23" s="0" t="n">
        <f aca="false">I23*J23</f>
        <v>600000</v>
      </c>
      <c r="O23" s="74" t="n">
        <f aca="false">SUM(O8:O22)</f>
        <v>222920.174506667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2</v>
      </c>
      <c r="K24" s="0" t="n">
        <f aca="false">I24*J24</f>
        <v>312000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9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2</v>
      </c>
      <c r="K26" s="0" t="n">
        <f aca="false">I26*J26</f>
        <v>432000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0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9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9</v>
      </c>
      <c r="K34" s="80" t="n">
        <f aca="false">+I34*J34</f>
        <v>281281.57056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51" t="str">
        <f aca="false">'[12]Team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tr">
        <f aca="false">'[12]Pull Sheet'!E9</f>
        <v>Office of the Chair</v>
      </c>
      <c r="C2" s="51"/>
      <c r="D2" s="51"/>
      <c r="E2" s="51"/>
      <c r="F2" s="51"/>
      <c r="G2" s="53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5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 t="n">
        <v>2002</v>
      </c>
      <c r="J6" s="88"/>
      <c r="K6" s="80" t="s">
        <v>109</v>
      </c>
      <c r="L6" s="80" t="s">
        <v>110</v>
      </c>
      <c r="M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233</v>
      </c>
      <c r="F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'[12]Team Report'!BA25</f>
        <v>888807.72</v>
      </c>
      <c r="E8" s="65" t="n">
        <f aca="false">(C8/9)*12</f>
        <v>1185076.96</v>
      </c>
      <c r="F8" s="65" t="n">
        <f aca="false">+M21</f>
        <v>1098000</v>
      </c>
      <c r="J8" s="88"/>
      <c r="M8" s="60"/>
      <c r="O8" s="65" t="n">
        <f aca="false">+F8/$F$29*$O$29</f>
        <v>183000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F9" s="65"/>
      <c r="J9" s="88" t="s">
        <v>120</v>
      </c>
      <c r="K9" s="50" t="n">
        <v>0</v>
      </c>
      <c r="L9" s="50" t="n">
        <f aca="false">+L21</f>
        <v>6</v>
      </c>
      <c r="M9" s="60" t="n">
        <f aca="false">M21</f>
        <v>1098000</v>
      </c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234</v>
      </c>
      <c r="C10" s="65" t="n">
        <v>0</v>
      </c>
      <c r="E10" s="65" t="n">
        <f aca="false">(C10/9)*12</f>
        <v>0</v>
      </c>
      <c r="F10" s="65" t="n">
        <v>0</v>
      </c>
      <c r="J10" s="88"/>
      <c r="M10" s="60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'[12]Team Report'!BA26</f>
        <v>249788.37</v>
      </c>
      <c r="E11" s="65" t="n">
        <f aca="false">(C11/9)*12</f>
        <v>333051.16</v>
      </c>
      <c r="F11" s="65" t="n">
        <f aca="false">+F8*0.2</f>
        <v>219600</v>
      </c>
      <c r="J11" s="88"/>
      <c r="M11" s="60"/>
      <c r="O11" s="65" t="n">
        <f aca="false">+F11/$F$29*$O$29</f>
        <v>36600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'[12]Team Report'!BA27</f>
        <v>180082.13</v>
      </c>
      <c r="E12" s="65" t="n">
        <f aca="false">(C12/9)*12</f>
        <v>240109.506666667</v>
      </c>
      <c r="F12" s="65" t="n">
        <f aca="false">+E12/$E$29*$F$29</f>
        <v>288131.408</v>
      </c>
      <c r="J12" s="88" t="s">
        <v>83</v>
      </c>
      <c r="K12" s="50" t="n">
        <f aca="false">(E12+E13+E14+E15+E16+E17+E18+E19+E20+E21+E22)/E29</f>
        <v>123221.090666665</v>
      </c>
      <c r="L12" s="50" t="n">
        <f aca="false">+L21</f>
        <v>6</v>
      </c>
      <c r="M12" s="60" t="n">
        <f aca="false">K12*L12</f>
        <v>739326.543999988</v>
      </c>
      <c r="O12" s="65" t="n">
        <f aca="false">+F12/$F$29*$O$29</f>
        <v>48021.9013333333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'[12]Team Report'!BA28</f>
        <v>201416.5</v>
      </c>
      <c r="E13" s="65" t="n">
        <f aca="false">(C13/9)*12</f>
        <v>268555.333333333</v>
      </c>
      <c r="F13" s="65" t="n">
        <f aca="false">+E13/$E$29*$F$29</f>
        <v>322266.4</v>
      </c>
      <c r="J13" s="88"/>
      <c r="M13" s="60"/>
      <c r="O13" s="65" t="n">
        <f aca="false">+F13/$F$29*$O$29</f>
        <v>53711.0666666667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(C14/9)*12</f>
        <v>0</v>
      </c>
      <c r="F14" s="65" t="n">
        <f aca="false">+E14/$E$29*$F$29</f>
        <v>0</v>
      </c>
      <c r="J14" s="93" t="s">
        <v>129</v>
      </c>
      <c r="K14" s="69"/>
      <c r="L14" s="69"/>
      <c r="M14" s="70" t="n">
        <f aca="false">SUM(M9:M12)</f>
        <v>1837326.54399999</v>
      </c>
      <c r="O14" s="65" t="n">
        <f aca="false">+F14/$F$29*$O$29</f>
        <v>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'[12]Team Report'!BA33</f>
        <v>10998.16</v>
      </c>
      <c r="E15" s="65" t="n">
        <f aca="false">(C15/9)*12</f>
        <v>14664.2133333333</v>
      </c>
      <c r="F15" s="65" t="n">
        <f aca="false">+E15/$E$29*$F$29</f>
        <v>17597.056</v>
      </c>
      <c r="J15" s="27"/>
      <c r="O15" s="65" t="n">
        <f aca="false">+F15/$F$29*$O$29</f>
        <v>2932.84266666667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'[12]Team Report'!BA34</f>
        <v>0</v>
      </c>
      <c r="E16" s="65" t="n">
        <f aca="false">(C16/9)*12</f>
        <v>0</v>
      </c>
      <c r="F16" s="65" t="n">
        <f aca="false">+E16/$E$29*$F$29</f>
        <v>0</v>
      </c>
      <c r="J16" s="27"/>
      <c r="L16" s="108"/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'[12]Team Report'!BA35</f>
        <v>25000</v>
      </c>
      <c r="E17" s="65" t="n">
        <f aca="false">(C17/9)*12</f>
        <v>33333.3333333333</v>
      </c>
      <c r="F17" s="65" t="n">
        <f aca="false">+E17/$E$29*$F$29</f>
        <v>40000</v>
      </c>
      <c r="O17" s="65" t="n">
        <f aca="false">+F17/$F$29*$O$29</f>
        <v>6666.66666666667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'[12]Team Report'!BA36</f>
        <v>2602.32</v>
      </c>
      <c r="E18" s="65" t="n">
        <f aca="false">(C18/9)*12</f>
        <v>3469.76</v>
      </c>
      <c r="F18" s="65" t="n">
        <f aca="false">+E18/$E$29*$F$29</f>
        <v>4163.712</v>
      </c>
      <c r="J18" s="0" t="s">
        <v>139</v>
      </c>
      <c r="K18" s="50" t="n">
        <v>55000</v>
      </c>
      <c r="L18" s="50" t="n">
        <v>3</v>
      </c>
      <c r="M18" s="50" t="n">
        <f aca="false">K18*L18</f>
        <v>165000</v>
      </c>
      <c r="O18" s="65" t="n">
        <f aca="false">+F18/$F$29*$O$29</f>
        <v>693.952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'[12]Team Report'!BA37</f>
        <v>40643.17</v>
      </c>
      <c r="E19" s="65" t="n">
        <f aca="false">(C19/9)*12</f>
        <v>54190.8933333333</v>
      </c>
      <c r="F19" s="65" t="n">
        <f aca="false">+E19/$E$29*$F$29</f>
        <v>65029.072</v>
      </c>
      <c r="J19" s="0" t="s">
        <v>235</v>
      </c>
      <c r="K19" s="50" t="n">
        <v>250000</v>
      </c>
      <c r="L19" s="50" t="n">
        <v>1</v>
      </c>
      <c r="M19" s="50" t="n">
        <f aca="false">K19*L19</f>
        <v>250000</v>
      </c>
      <c r="O19" s="65" t="n">
        <f aca="false">+F19/$F$29*$O$29</f>
        <v>10838.1786666667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'[12]Team Report'!BA38</f>
        <v>1258.2</v>
      </c>
      <c r="E20" s="65" t="n">
        <f aca="false">(C20/9)*12</f>
        <v>1677.6</v>
      </c>
      <c r="F20" s="65" t="n">
        <f aca="false">+E20/$E$29*$F$29</f>
        <v>2013.12</v>
      </c>
      <c r="J20" s="0" t="s">
        <v>220</v>
      </c>
      <c r="K20" s="50" t="n">
        <v>250000</v>
      </c>
      <c r="L20" s="50" t="n">
        <v>2</v>
      </c>
      <c r="M20" s="50" t="n">
        <f aca="false">K20*L20</f>
        <v>500000</v>
      </c>
      <c r="O20" s="65" t="n">
        <f aca="false">+F20/$F$29*$O$29</f>
        <v>335.52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'[12]Team Report'!BA42-C40</f>
        <v>-0.180000007152557</v>
      </c>
      <c r="E21" s="65" t="n">
        <f aca="false">(C21/9)*12</f>
        <v>-0.240000009536743</v>
      </c>
      <c r="F21" s="65" t="n">
        <f aca="false">+E21/$E$29*$F$29</f>
        <v>-0.288000011444092</v>
      </c>
      <c r="L21" s="50" t="n">
        <f aca="false">SUM(L18:L20)</f>
        <v>6</v>
      </c>
      <c r="M21" s="50" t="n">
        <f aca="false">SUM(M18:M20)*1.2</f>
        <v>1098000</v>
      </c>
      <c r="O21" s="65" t="n">
        <f aca="false">+F21/$F$29*$O$29</f>
        <v>-0.0480000019073486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'[12]Team Report'!BA44</f>
        <v>78.79</v>
      </c>
      <c r="E22" s="65" t="n">
        <f aca="false">(C22/9)*12</f>
        <v>105.053333333333</v>
      </c>
      <c r="F22" s="65" t="n">
        <f aca="false">+E22/$E$29*$F$29</f>
        <v>126.064</v>
      </c>
      <c r="L22" s="78"/>
      <c r="M22" s="78"/>
      <c r="O22" s="65" t="n">
        <f aca="false">+F22/$F$29*$O$29</f>
        <v>21.0106666666667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1600675.17999999</v>
      </c>
      <c r="E23" s="74" t="n">
        <f aca="false">SUM(E8:E22)</f>
        <v>2134233.57333332</v>
      </c>
      <c r="F23" s="74" t="n">
        <f aca="false">SUM(F8:F22)</f>
        <v>2056926.54399999</v>
      </c>
      <c r="O23" s="96" t="n">
        <f aca="false">SUM(O8:O22)</f>
        <v>342821.090666665</v>
      </c>
    </row>
    <row r="25" customFormat="false" ht="12.75" hidden="false" customHeight="false" outlineLevel="0" collapsed="false">
      <c r="B25" s="73" t="s">
        <v>7</v>
      </c>
      <c r="C25" s="109"/>
      <c r="E25" s="109" t="n">
        <v>5</v>
      </c>
      <c r="F25" s="110" t="n">
        <v>6</v>
      </c>
      <c r="I25" s="17" t="s">
        <v>164</v>
      </c>
      <c r="J25" s="50"/>
      <c r="M25" s="0"/>
      <c r="O25" s="77" t="n">
        <f aca="false">SUM(U16:U20,U23:U27)</f>
        <v>0</v>
      </c>
    </row>
    <row r="26" customFormat="false" ht="12.75" hidden="false" customHeight="false" outlineLevel="0" collapsed="false">
      <c r="J26" s="50"/>
      <c r="M26" s="0"/>
      <c r="O26" s="65"/>
    </row>
    <row r="27" customFormat="false" ht="12.75" hidden="false" customHeight="false" outlineLevel="0" collapsed="false">
      <c r="B27" s="73" t="s">
        <v>161</v>
      </c>
      <c r="C27" s="109"/>
      <c r="E27" s="109"/>
      <c r="F27" s="109"/>
      <c r="I27" s="79" t="s">
        <v>165</v>
      </c>
      <c r="J27" s="80" t="s">
        <v>166</v>
      </c>
      <c r="K27" s="80" t="s">
        <v>167</v>
      </c>
      <c r="L27" s="80" t="s">
        <v>110</v>
      </c>
      <c r="M27" s="80" t="s">
        <v>168</v>
      </c>
      <c r="O27" s="77" t="n">
        <f aca="false">SUM(U21:U22)</f>
        <v>0</v>
      </c>
    </row>
    <row r="28" customFormat="false" ht="12.75" hidden="false" customHeight="false" outlineLevel="0" collapsed="false">
      <c r="I28" s="81" t="n">
        <f aca="false">SUM(E12:E22)</f>
        <v>616105.453333324</v>
      </c>
      <c r="J28" s="111" t="n">
        <f aca="false">+E29</f>
        <v>5</v>
      </c>
      <c r="K28" s="80" t="n">
        <f aca="false">+I28/J28</f>
        <v>123221.090666665</v>
      </c>
      <c r="L28" s="80" t="n">
        <f aca="false">+L12</f>
        <v>6</v>
      </c>
      <c r="M28" s="80" t="n">
        <f aca="false">+K28*L28</f>
        <v>739326.543999989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5</v>
      </c>
      <c r="F29" s="109" t="n">
        <f aca="false">SUM(F25:F28)</f>
        <v>6</v>
      </c>
      <c r="K29" s="0"/>
      <c r="M29" s="0"/>
      <c r="O29" s="77" t="n">
        <v>1</v>
      </c>
    </row>
    <row r="30" customFormat="false" ht="12.75" hidden="false" customHeight="false" outlineLevel="0" collapsed="false">
      <c r="B30" s="73"/>
      <c r="K30" s="0"/>
      <c r="M30" s="0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'[12]Team Report'!BA29</f>
        <v>143473.75</v>
      </c>
      <c r="E31" s="65" t="n">
        <f aca="false">(C31/9)*12</f>
        <v>191298.333333333</v>
      </c>
      <c r="F31" s="65"/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'[12]Team Report'!BA30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'[12]Team Report'!BA31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'[12]Team Report'!BA39</f>
        <v>0</v>
      </c>
      <c r="E34" s="65" t="n">
        <f aca="false">(C34/9)*12</f>
        <v>0</v>
      </c>
      <c r="F34" s="65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'[12]Team Report'!BA40</f>
        <v>47150.06</v>
      </c>
      <c r="E35" s="65" t="n">
        <f aca="false">(C35/9)*12</f>
        <v>62866.7466666667</v>
      </c>
      <c r="F35" s="65"/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'[12]Team Report'!BA41</f>
        <v>150417.01</v>
      </c>
      <c r="E36" s="65" t="n">
        <f aca="false">(C36/9)*12</f>
        <v>200556.013333333</v>
      </c>
      <c r="F36" s="65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'[12]Team Report'!BA43</f>
        <v>7417.54</v>
      </c>
      <c r="E37" s="65" t="n">
        <f aca="false">(C37/9)*12</f>
        <v>9890.05333333333</v>
      </c>
      <c r="F37" s="65"/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'[12]Team Report'!BA45</f>
        <v>11194108.38</v>
      </c>
      <c r="E38" s="65" t="n">
        <f aca="false">(C38/9)*12</f>
        <v>14925477.84</v>
      </c>
      <c r="F38" s="65"/>
    </row>
    <row r="39" customFormat="false" ht="12.75" hidden="true" customHeight="false" outlineLevel="0" collapsed="false">
      <c r="A39" s="63" t="s">
        <v>130</v>
      </c>
      <c r="B39" s="64" t="s">
        <v>131</v>
      </c>
      <c r="C39" s="65" t="n">
        <v>24143776.43</v>
      </c>
      <c r="E39" s="65" t="n">
        <v>32191701.9066667</v>
      </c>
      <c r="F39" s="65"/>
    </row>
    <row r="40" customFormat="false" ht="12.75" hidden="true" customHeight="false" outlineLevel="0" collapsed="false">
      <c r="B40" s="64" t="s">
        <v>150</v>
      </c>
      <c r="C40" s="65" t="n">
        <v>243106037</v>
      </c>
      <c r="E40" s="65"/>
      <c r="F40" s="65"/>
      <c r="N40" s="50"/>
    </row>
    <row r="44" customFormat="false" ht="12.75" hidden="false" customHeight="false" outlineLevel="0" collapsed="false">
      <c r="C44" s="103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15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230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v>0</v>
      </c>
      <c r="H8" s="88" t="s">
        <v>120</v>
      </c>
      <c r="I8" s="50" t="n">
        <v>0</v>
      </c>
      <c r="J8" s="27"/>
      <c r="K8" s="92" t="n">
        <f aca="false">K28</f>
        <v>354240</v>
      </c>
      <c r="O8" s="65" t="n">
        <f aca="false">+G8/$G$29*$O$29</f>
        <v>0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K22+K21-(188400/11*4)</f>
        <v>226690.909090909</v>
      </c>
      <c r="H10" s="88"/>
      <c r="J10" s="27"/>
      <c r="K10" s="89"/>
      <c r="O10" s="65" t="n">
        <f aca="false">+G10/$G$29*$O$29</f>
        <v>56672.7272727273</v>
      </c>
      <c r="AK10" s="104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G10*0.3105-(96300/11*4)</f>
        <v>35369.3454545455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4</v>
      </c>
      <c r="K11" s="92" t="n">
        <f aca="false">I11*J11</f>
        <v>125014.03136</v>
      </c>
      <c r="O11" s="65" t="n">
        <f aca="false">+G11/$G$29*$O$29</f>
        <v>8842.33636363636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8616.97664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38127.59552</v>
      </c>
      <c r="H13" s="93" t="s">
        <v>129</v>
      </c>
      <c r="I13" s="69"/>
      <c r="J13" s="94"/>
      <c r="K13" s="95" t="n">
        <f aca="false">K8+K11</f>
        <v>479254.03136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64734.71744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822.70976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241.10336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2458.67776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6700.13952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2530.45376000001</v>
      </c>
      <c r="H21" s="0" t="s">
        <v>151</v>
      </c>
      <c r="I21" s="50" t="n">
        <v>66000</v>
      </c>
      <c r="J21" s="0" t="n">
        <v>3</v>
      </c>
      <c r="K21" s="0" t="n">
        <f aca="false">I21*J21</f>
        <v>198000</v>
      </c>
      <c r="O21" s="65" t="n">
        <f aca="false">+G21/$G$29*$O$29</f>
        <v>632.613440000001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781.657600000001</v>
      </c>
      <c r="H22" s="0" t="s">
        <v>154</v>
      </c>
      <c r="I22" s="50" t="n">
        <v>97200</v>
      </c>
      <c r="J22" s="0" t="n">
        <v>1</v>
      </c>
      <c r="K22" s="0" t="n">
        <f aca="false">I22*J22</f>
        <v>97200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387074.285905455</v>
      </c>
      <c r="H23" s="0" t="s">
        <v>157</v>
      </c>
      <c r="I23" s="50" t="n">
        <v>120000</v>
      </c>
      <c r="J23" s="0" t="n">
        <v>0</v>
      </c>
      <c r="K23" s="0" t="n">
        <f aca="false">I23*J23</f>
        <v>0</v>
      </c>
      <c r="O23" s="74" t="n">
        <f aca="false">SUM(O8:O22)</f>
        <v>96768.5714763636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0</v>
      </c>
      <c r="K24" s="0" t="n">
        <f aca="false">I24*J24</f>
        <v>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0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0</v>
      </c>
      <c r="K26" s="0" t="n">
        <f aca="false">I26*J26</f>
        <v>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4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4</v>
      </c>
      <c r="K28" s="0" t="n">
        <f aca="false">SUM(K16:K27)*1.2</f>
        <v>354240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4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4</v>
      </c>
      <c r="K34" s="80" t="n">
        <f aca="false">+I34*J34</f>
        <v>125014.03136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230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v>0</v>
      </c>
      <c r="H8" s="88" t="s">
        <v>120</v>
      </c>
      <c r="I8" s="50" t="n">
        <v>0</v>
      </c>
      <c r="J8" s="27"/>
      <c r="K8" s="92" t="n">
        <f aca="false">K28</f>
        <v>946080</v>
      </c>
      <c r="O8" s="65" t="n">
        <f aca="false">+G8/$G$29*$O$29</f>
        <v>0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K22+K21-188400</f>
        <v>600000</v>
      </c>
      <c r="H10" s="88"/>
      <c r="J10" s="27"/>
      <c r="K10" s="89"/>
      <c r="O10" s="65" t="n">
        <f aca="false">+G10/$G$29*$O$29</f>
        <v>54545.4545454545</v>
      </c>
      <c r="AK10" s="104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f aca="false">G10*0.3105-96300</f>
        <v>90000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11</v>
      </c>
      <c r="K11" s="92" t="n">
        <f aca="false">I11*J11</f>
        <v>343788.58624</v>
      </c>
      <c r="O11" s="65" t="n">
        <f aca="false">+G11/$G$29*$O$29</f>
        <v>8181.81818181818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23696.68576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104850.88768</v>
      </c>
      <c r="H13" s="93" t="s">
        <v>129</v>
      </c>
      <c r="I13" s="69"/>
      <c r="J13" s="94"/>
      <c r="K13" s="95" t="n">
        <f aca="false">K8+K11</f>
        <v>1289868.58624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178020.47296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2262.45184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663.03424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6761.36384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18425.38368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6958.74784000002</v>
      </c>
      <c r="H21" s="0" t="s">
        <v>151</v>
      </c>
      <c r="I21" s="50" t="n">
        <v>66000</v>
      </c>
      <c r="J21" s="0" t="n">
        <f aca="false">3+5+1</f>
        <v>9</v>
      </c>
      <c r="K21" s="0" t="n">
        <f aca="false">I21*J21</f>
        <v>594000</v>
      </c>
      <c r="O21" s="65" t="n">
        <f aca="false">+G21/$G$29*$O$29</f>
        <v>632.613440000001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2149.5584</v>
      </c>
      <c r="H22" s="0" t="s">
        <v>154</v>
      </c>
      <c r="I22" s="50" t="n">
        <v>97200</v>
      </c>
      <c r="J22" s="0" t="n">
        <v>2</v>
      </c>
      <c r="K22" s="0" t="n">
        <f aca="false">I22*J22</f>
        <v>194400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1033788.58624</v>
      </c>
      <c r="H23" s="0" t="s">
        <v>157</v>
      </c>
      <c r="I23" s="50" t="n">
        <v>120000</v>
      </c>
      <c r="J23" s="0" t="n">
        <v>0</v>
      </c>
      <c r="K23" s="0" t="n">
        <f aca="false">I23*J23</f>
        <v>0</v>
      </c>
      <c r="O23" s="74" t="n">
        <f aca="false">SUM(O8:O22)</f>
        <v>93980.7805672727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0</v>
      </c>
      <c r="K24" s="0" t="n">
        <f aca="false">I24*J24</f>
        <v>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0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0</v>
      </c>
      <c r="K26" s="0" t="n">
        <f aca="false">I26*J26</f>
        <v>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11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11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11</v>
      </c>
      <c r="K34" s="80" t="n">
        <f aca="false">+I34*J34</f>
        <v>343788.58624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5" min="14" style="0" width="9.14"/>
  </cols>
  <sheetData>
    <row r="1" customFormat="false" ht="18" hidden="false" customHeight="false" outlineLevel="0" collapsed="false">
      <c r="B1" s="51" t="str">
        <f aca="false">'[12]Team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tr">
        <f aca="false">'[12]Pull Sheet'!E9</f>
        <v>Office of the Chair</v>
      </c>
      <c r="C2" s="51"/>
      <c r="D2" s="51"/>
      <c r="E2" s="51"/>
      <c r="F2" s="51"/>
      <c r="G2" s="53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5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 t="n">
        <v>2002</v>
      </c>
      <c r="J6" s="88"/>
      <c r="K6" s="80" t="s">
        <v>109</v>
      </c>
      <c r="L6" s="80" t="s">
        <v>110</v>
      </c>
      <c r="M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233</v>
      </c>
      <c r="F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'[12]Team Report'!BA25</f>
        <v>888807.72</v>
      </c>
      <c r="E8" s="65" t="n">
        <f aca="false">(C8/9)*12</f>
        <v>1185076.96</v>
      </c>
      <c r="F8" s="65" t="n">
        <f aca="false">(((+M21)*1.2)/1.2)*1.1</f>
        <v>990000</v>
      </c>
      <c r="J8" s="88"/>
      <c r="M8" s="60"/>
      <c r="O8" s="65" t="n">
        <f aca="false">+F8/$F$29*$O$29</f>
        <v>330000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F9" s="65" t="n">
        <v>0</v>
      </c>
      <c r="J9" s="88" t="s">
        <v>120</v>
      </c>
      <c r="K9" s="50" t="n">
        <v>0</v>
      </c>
      <c r="L9" s="50" t="n">
        <f aca="false">+L21</f>
        <v>3</v>
      </c>
      <c r="M9" s="60" t="n">
        <f aca="false">M21</f>
        <v>900000</v>
      </c>
      <c r="O9" s="65" t="n">
        <f aca="false">+F9/$F$29*$O$29</f>
        <v>0</v>
      </c>
    </row>
    <row r="10" customFormat="false" ht="12.75" hidden="false" customHeight="false" outlineLevel="0" collapsed="false">
      <c r="A10" s="63"/>
      <c r="B10" s="64" t="s">
        <v>234</v>
      </c>
      <c r="C10" s="65" t="n">
        <v>0</v>
      </c>
      <c r="E10" s="65" t="n">
        <f aca="false">(C10/9)*12</f>
        <v>0</v>
      </c>
      <c r="F10" s="65" t="n">
        <v>0</v>
      </c>
      <c r="J10" s="88"/>
      <c r="M10" s="60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'[12]Team Report'!BA26</f>
        <v>249788.37</v>
      </c>
      <c r="E11" s="65" t="n">
        <f aca="false">(C11/9)*12</f>
        <v>333051.16</v>
      </c>
      <c r="F11" s="65" t="n">
        <f aca="false">(((+F8*0.2)*1.2)/1.2)*1.1</f>
        <v>217800</v>
      </c>
      <c r="J11" s="88"/>
      <c r="M11" s="60"/>
      <c r="O11" s="65" t="n">
        <f aca="false">+F11/$F$29*$O$29</f>
        <v>72600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'[12]Team Report'!BA27</f>
        <v>180082.13</v>
      </c>
      <c r="E12" s="65" t="n">
        <f aca="false">(C12/9)*12</f>
        <v>240109.506666667</v>
      </c>
      <c r="F12" s="65" t="n">
        <v>282081</v>
      </c>
      <c r="J12" s="88" t="s">
        <v>83</v>
      </c>
      <c r="K12" s="50" t="n">
        <f aca="false">(E12+E13+E14+E15+E16+E17+E18+E19+E20+E21+E22)/E29</f>
        <v>123221.090666665</v>
      </c>
      <c r="L12" s="50" t="n">
        <f aca="false">+L21</f>
        <v>3</v>
      </c>
      <c r="M12" s="60" t="n">
        <f aca="false">K12*L12</f>
        <v>369663.271999994</v>
      </c>
      <c r="O12" s="65" t="n">
        <f aca="false">+F12/$F$29*$O$29</f>
        <v>94027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'[12]Team Report'!BA28</f>
        <v>201416.5</v>
      </c>
      <c r="E13" s="65" t="n">
        <f aca="false">(C13/9)*12</f>
        <v>268555.333333333</v>
      </c>
      <c r="F13" s="65" t="n">
        <v>315499</v>
      </c>
      <c r="J13" s="88"/>
      <c r="M13" s="60"/>
      <c r="O13" s="65" t="n">
        <f aca="false">+F13/$F$29*$O$29</f>
        <v>105166.333333333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(C14/9)*12</f>
        <v>0</v>
      </c>
      <c r="F14" s="65" t="n">
        <f aca="false">(((+E14/$E$29*$F$29)*1.2)/1.2)*1.1</f>
        <v>0</v>
      </c>
      <c r="J14" s="93" t="s">
        <v>129</v>
      </c>
      <c r="K14" s="69"/>
      <c r="L14" s="69"/>
      <c r="M14" s="70" t="n">
        <f aca="false">SUM(M9:M12)</f>
        <v>1269663.27199999</v>
      </c>
      <c r="O14" s="65" t="n">
        <f aca="false">+F14/$F$29*$O$29</f>
        <v>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'[12]Team Report'!BA33</f>
        <v>10998.16</v>
      </c>
      <c r="E15" s="65" t="n">
        <f aca="false">(C15/9)*12</f>
        <v>14664.2133333333</v>
      </c>
      <c r="F15" s="65" t="n">
        <f aca="false">(((+E15/$E$29*$F$29)*1.2)/1.2)*1.1</f>
        <v>9678.3808</v>
      </c>
      <c r="J15" s="27"/>
      <c r="O15" s="65" t="n">
        <f aca="false">+F15/$F$29*$O$29</f>
        <v>3226.12693333333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'[12]Team Report'!BA34</f>
        <v>0</v>
      </c>
      <c r="E16" s="65" t="n">
        <f aca="false">(C16/9)*12</f>
        <v>0</v>
      </c>
      <c r="F16" s="65" t="n">
        <f aca="false">(((+E16/$E$29*$F$29)*1.2)/1.2)*1.1</f>
        <v>0</v>
      </c>
      <c r="J16" s="27"/>
      <c r="L16" s="108"/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'[12]Team Report'!BA35</f>
        <v>25000</v>
      </c>
      <c r="E17" s="65" t="n">
        <f aca="false">(C17/9)*12</f>
        <v>33333.3333333333</v>
      </c>
      <c r="F17" s="65" t="n">
        <v>44000</v>
      </c>
      <c r="O17" s="65" t="n">
        <f aca="false">+F17/$F$29*$O$29</f>
        <v>14666.6666666667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'[12]Team Report'!BA36</f>
        <v>2602.32</v>
      </c>
      <c r="E18" s="65" t="n">
        <f aca="false">(C18/9)*12</f>
        <v>3469.76</v>
      </c>
      <c r="F18" s="65" t="n">
        <f aca="false">(((+E18/$E$29*$F$29)*1.2)/1.2)*1.1</f>
        <v>2290.0416</v>
      </c>
      <c r="J18" s="0" t="s">
        <v>139</v>
      </c>
      <c r="K18" s="50" t="n">
        <v>55000</v>
      </c>
      <c r="L18" s="50" t="n">
        <v>0</v>
      </c>
      <c r="M18" s="50" t="n">
        <f aca="false">K18*L18</f>
        <v>0</v>
      </c>
      <c r="O18" s="65" t="n">
        <f aca="false">+F18/$F$29*$O$29</f>
        <v>763.3472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'[12]Team Report'!BA37</f>
        <v>40643.17</v>
      </c>
      <c r="E19" s="65" t="n">
        <f aca="false">(C19/9)*12</f>
        <v>54190.8933333333</v>
      </c>
      <c r="F19" s="65" t="n">
        <v>51861</v>
      </c>
      <c r="J19" s="0" t="s">
        <v>235</v>
      </c>
      <c r="K19" s="50" t="n">
        <v>250000</v>
      </c>
      <c r="L19" s="50" t="n">
        <v>1</v>
      </c>
      <c r="M19" s="50" t="n">
        <f aca="false">K19*L19</f>
        <v>250000</v>
      </c>
      <c r="O19" s="65" t="n">
        <f aca="false">+F19/$F$29*$O$29</f>
        <v>17287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'[12]Team Report'!BA38</f>
        <v>1258.2</v>
      </c>
      <c r="E20" s="65" t="n">
        <f aca="false">(C20/9)*12</f>
        <v>1677.6</v>
      </c>
      <c r="F20" s="65" t="n">
        <f aca="false">(((+E20/$E$29*$F$29)*1.2)/1.2)*1.1</f>
        <v>1107.216</v>
      </c>
      <c r="J20" s="0" t="s">
        <v>220</v>
      </c>
      <c r="K20" s="50" t="n">
        <v>250000</v>
      </c>
      <c r="L20" s="50" t="n">
        <v>2</v>
      </c>
      <c r="M20" s="50" t="n">
        <f aca="false">K20*L20</f>
        <v>500000</v>
      </c>
      <c r="O20" s="65" t="n">
        <f aca="false">+F20/$F$29*$O$29</f>
        <v>369.072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'[12]Team Report'!BA42-C40</f>
        <v>-0.180000007152557</v>
      </c>
      <c r="E21" s="65" t="n">
        <f aca="false">(C21/9)*12</f>
        <v>-0.240000009536743</v>
      </c>
      <c r="F21" s="65" t="n">
        <f aca="false">(((+E21/$E$29*$F$29)*1.2)/1.2)*1.1</f>
        <v>-0.158400006294251</v>
      </c>
      <c r="L21" s="50" t="n">
        <f aca="false">SUM(L18:L20)</f>
        <v>3</v>
      </c>
      <c r="M21" s="50" t="n">
        <f aca="false">SUM(M18:M20)*1.2</f>
        <v>900000</v>
      </c>
      <c r="O21" s="65" t="n">
        <f aca="false">+F21/$F$29*$O$29</f>
        <v>-0.0528000020980835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'[12]Team Report'!BA44</f>
        <v>78.79</v>
      </c>
      <c r="E22" s="65" t="n">
        <f aca="false">(C22/9)*12</f>
        <v>105.053333333333</v>
      </c>
      <c r="F22" s="65" t="n">
        <f aca="false">(((+E22/$E$29*$F$29)*1.2)/1.2)*1.1</f>
        <v>69.3352</v>
      </c>
      <c r="L22" s="78"/>
      <c r="M22" s="78"/>
      <c r="O22" s="65" t="n">
        <f aca="false">+F22/$F$29*$O$29</f>
        <v>23.1117333333333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1600675.17999999</v>
      </c>
      <c r="E23" s="74" t="n">
        <f aca="false">SUM(E8:E22)</f>
        <v>2134233.57333332</v>
      </c>
      <c r="F23" s="74" t="n">
        <f aca="false">SUM(F8:F22)</f>
        <v>1914385.81519999</v>
      </c>
      <c r="O23" s="96" t="n">
        <f aca="false">SUM(O8:O22)</f>
        <v>638128.605066665</v>
      </c>
    </row>
    <row r="25" customFormat="false" ht="12.75" hidden="false" customHeight="false" outlineLevel="0" collapsed="false">
      <c r="B25" s="73" t="s">
        <v>7</v>
      </c>
      <c r="C25" s="109"/>
      <c r="E25" s="109" t="n">
        <v>5</v>
      </c>
      <c r="F25" s="110" t="n">
        <f aca="false">SUM(L18:L20)</f>
        <v>3</v>
      </c>
      <c r="I25" s="17" t="s">
        <v>164</v>
      </c>
      <c r="J25" s="50"/>
      <c r="M25" s="0"/>
      <c r="O25" s="77" t="n">
        <f aca="false">SUM(U16:U20,U23:U27)</f>
        <v>0</v>
      </c>
    </row>
    <row r="26" customFormat="false" ht="12.75" hidden="false" customHeight="false" outlineLevel="0" collapsed="false">
      <c r="J26" s="50"/>
      <c r="M26" s="0"/>
      <c r="O26" s="65"/>
    </row>
    <row r="27" customFormat="false" ht="12.75" hidden="false" customHeight="false" outlineLevel="0" collapsed="false">
      <c r="B27" s="73" t="s">
        <v>161</v>
      </c>
      <c r="C27" s="109"/>
      <c r="E27" s="109"/>
      <c r="F27" s="109"/>
      <c r="I27" s="79" t="s">
        <v>165</v>
      </c>
      <c r="J27" s="80" t="s">
        <v>166</v>
      </c>
      <c r="K27" s="80" t="s">
        <v>167</v>
      </c>
      <c r="L27" s="80" t="s">
        <v>110</v>
      </c>
      <c r="M27" s="80" t="s">
        <v>168</v>
      </c>
      <c r="O27" s="77" t="n">
        <f aca="false">SUM(U21:U22)</f>
        <v>0</v>
      </c>
    </row>
    <row r="28" customFormat="false" ht="12.75" hidden="false" customHeight="false" outlineLevel="0" collapsed="false">
      <c r="I28" s="81" t="n">
        <f aca="false">SUM(E12:E22)</f>
        <v>616105.453333324</v>
      </c>
      <c r="J28" s="111" t="n">
        <f aca="false">+E29</f>
        <v>5</v>
      </c>
      <c r="K28" s="80" t="n">
        <f aca="false">+I28/J28</f>
        <v>123221.090666665</v>
      </c>
      <c r="L28" s="80" t="n">
        <f aca="false">+L12</f>
        <v>3</v>
      </c>
      <c r="M28" s="80" t="n">
        <f aca="false">+K28*L28</f>
        <v>369663.271999994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5</v>
      </c>
      <c r="F29" s="109" t="n">
        <f aca="false">SUM(F25:F28)</f>
        <v>3</v>
      </c>
      <c r="K29" s="0"/>
      <c r="M29" s="0"/>
      <c r="O29" s="77" t="n">
        <v>1</v>
      </c>
    </row>
    <row r="30" customFormat="false" ht="12.75" hidden="false" customHeight="false" outlineLevel="0" collapsed="false">
      <c r="B30" s="73"/>
      <c r="K30" s="0"/>
      <c r="M30" s="0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'[12]Team Report'!BA29</f>
        <v>143473.75</v>
      </c>
      <c r="E31" s="65" t="n">
        <f aca="false">(C31/9)*12</f>
        <v>191298.333333333</v>
      </c>
      <c r="F31" s="65"/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'[12]Team Report'!BA30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'[12]Team Report'!BA31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'[12]Team Report'!BA39</f>
        <v>0</v>
      </c>
      <c r="E34" s="65" t="n">
        <f aca="false">(C34/9)*12</f>
        <v>0</v>
      </c>
      <c r="F34" s="65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'[12]Team Report'!BA40</f>
        <v>47150.06</v>
      </c>
      <c r="E35" s="65" t="n">
        <f aca="false">(C35/9)*12</f>
        <v>62866.7466666667</v>
      </c>
      <c r="F35" s="65"/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'[12]Team Report'!BA41</f>
        <v>150417.01</v>
      </c>
      <c r="E36" s="65" t="n">
        <f aca="false">(C36/9)*12</f>
        <v>200556.013333333</v>
      </c>
      <c r="F36" s="65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'[12]Team Report'!BA43</f>
        <v>7417.54</v>
      </c>
      <c r="E37" s="65" t="n">
        <f aca="false">(C37/9)*12</f>
        <v>9890.05333333333</v>
      </c>
      <c r="F37" s="65"/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'[12]Team Report'!BA45</f>
        <v>11194108.38</v>
      </c>
      <c r="E38" s="65" t="n">
        <f aca="false">(C38/9)*12</f>
        <v>14925477.84</v>
      </c>
      <c r="F38" s="65"/>
    </row>
    <row r="39" customFormat="false" ht="12.75" hidden="true" customHeight="false" outlineLevel="0" collapsed="false">
      <c r="A39" s="63" t="s">
        <v>130</v>
      </c>
      <c r="B39" s="64" t="s">
        <v>131</v>
      </c>
      <c r="C39" s="65" t="n">
        <v>24143776.43</v>
      </c>
      <c r="E39" s="65" t="n">
        <v>32191701.9066667</v>
      </c>
      <c r="F39" s="65"/>
    </row>
    <row r="40" customFormat="false" ht="12.75" hidden="true" customHeight="false" outlineLevel="0" collapsed="false">
      <c r="B40" s="64" t="s">
        <v>150</v>
      </c>
      <c r="C40" s="65" t="n">
        <v>243106037</v>
      </c>
      <c r="E40" s="65"/>
      <c r="F40" s="65"/>
      <c r="N40" s="50"/>
    </row>
    <row r="44" customFormat="false" ht="12.75" hidden="false" customHeight="false" outlineLevel="0" collapsed="false">
      <c r="C44" s="103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5" min="14" style="0" width="9.14"/>
  </cols>
  <sheetData>
    <row r="1" customFormat="false" ht="18" hidden="false" customHeight="false" outlineLevel="0" collapsed="false">
      <c r="B1" s="51" t="str">
        <f aca="false">'[12]Team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244</v>
      </c>
      <c r="C2" s="51"/>
      <c r="D2" s="51"/>
      <c r="E2" s="51"/>
      <c r="F2" s="51"/>
      <c r="G2" s="53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5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 t="n">
        <v>2002</v>
      </c>
      <c r="J6" s="88"/>
      <c r="K6" s="80" t="s">
        <v>109</v>
      </c>
      <c r="L6" s="80" t="s">
        <v>110</v>
      </c>
      <c r="M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233</v>
      </c>
      <c r="F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'[12]Team Report'!BA25</f>
        <v>888807.72</v>
      </c>
      <c r="E8" s="65" t="n">
        <f aca="false">(C8/9)*12</f>
        <v>1185076.96</v>
      </c>
      <c r="F8" s="65" t="n">
        <f aca="false">((+M20)*1.2)*0.917</f>
        <v>217879.2</v>
      </c>
      <c r="J8" s="88"/>
      <c r="M8" s="60"/>
      <c r="O8" s="65" t="n">
        <f aca="false">+F8/$F$28*$O$28</f>
        <v>72626.4</v>
      </c>
    </row>
    <row r="9" customFormat="false" ht="12.75" hidden="false" customHeight="false" outlineLevel="0" collapsed="false">
      <c r="A9" s="63"/>
      <c r="B9" s="64" t="s">
        <v>234</v>
      </c>
      <c r="C9" s="65" t="n">
        <v>0</v>
      </c>
      <c r="E9" s="65" t="n">
        <f aca="false">(C9/9)*12</f>
        <v>0</v>
      </c>
      <c r="F9" s="65" t="n">
        <v>0</v>
      </c>
      <c r="J9" s="88"/>
      <c r="M9" s="60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'[12]Team Report'!BA26</f>
        <v>249788.37</v>
      </c>
      <c r="E10" s="65" t="n">
        <f aca="false">(C10/9)*12</f>
        <v>333051.16</v>
      </c>
      <c r="F10" s="65" t="n">
        <f aca="false">((+F8*0.2)*1.2)*0.917</f>
        <v>47950.854336</v>
      </c>
      <c r="J10" s="88"/>
      <c r="M10" s="60"/>
      <c r="O10" s="65" t="n">
        <f aca="false">+F10/$F$28*$O$28</f>
        <v>15983.618112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'[12]Team Report'!BA27</f>
        <v>180082.13</v>
      </c>
      <c r="E11" s="65" t="n">
        <f aca="false">(C11/9)*12</f>
        <v>240109.506666667</v>
      </c>
      <c r="F11" s="65" t="n">
        <f aca="false">((+E11/$E$28*$F$28*0.2)*1.2)*0.917</f>
        <v>31705.98013632</v>
      </c>
      <c r="J11" s="88" t="s">
        <v>83</v>
      </c>
      <c r="K11" s="50" t="n">
        <f aca="false">(E11+E12+E13+E14+E15+E16+E17+E18+E19+E20+E21)/E28</f>
        <v>123221.090666665</v>
      </c>
      <c r="L11" s="50" t="n">
        <f aca="false">+L20</f>
        <v>3</v>
      </c>
      <c r="M11" s="60" t="n">
        <f aca="false">K11*L11</f>
        <v>369663.271999994</v>
      </c>
      <c r="O11" s="65" t="n">
        <f aca="false">+F11/$F$28*$O$28</f>
        <v>10568.66004544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'[12]Team Report'!BA28</f>
        <v>201416.5</v>
      </c>
      <c r="E12" s="65" t="n">
        <f aca="false">(C12/9)*12</f>
        <v>268555.333333333</v>
      </c>
      <c r="F12" s="65" t="n">
        <f aca="false">((+E12/$E$28*$F$28*0.2)*1.2)*0.917</f>
        <v>35462.194656</v>
      </c>
      <c r="J12" s="88"/>
      <c r="M12" s="60"/>
      <c r="O12" s="65" t="n">
        <f aca="false">+F12/$F$28*$O$28</f>
        <v>11820.731552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(C13/9)*12</f>
        <v>0</v>
      </c>
      <c r="F13" s="65" t="n">
        <f aca="false">((+E13/$E$28*$F$28)*1.2)*0.917</f>
        <v>0</v>
      </c>
      <c r="J13" s="93" t="s">
        <v>129</v>
      </c>
      <c r="K13" s="69"/>
      <c r="L13" s="69"/>
      <c r="M13" s="70" t="n">
        <f aca="false">SUM(M9:M11)</f>
        <v>369663.271999994</v>
      </c>
      <c r="O13" s="65" t="n">
        <f aca="false">+F13/$F$28*$O$28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'[12]Team Report'!BA33</f>
        <v>10998.16</v>
      </c>
      <c r="E14" s="65" t="n">
        <f aca="false">(C14/9)*12</f>
        <v>14664.2133333333</v>
      </c>
      <c r="F14" s="65" t="n">
        <f aca="false">((+E14/$E$28*$F$28)*1.2)*0.917</f>
        <v>9681.9002112</v>
      </c>
      <c r="J14" s="27"/>
      <c r="O14" s="65" t="n">
        <f aca="false">+F14/$F$28*$O$28</f>
        <v>3227.3000704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'[12]Team Report'!BA34</f>
        <v>0</v>
      </c>
      <c r="E15" s="65" t="n">
        <f aca="false">(C15/9)*12</f>
        <v>0</v>
      </c>
      <c r="F15" s="65" t="n">
        <f aca="false">((+E15/$E$28*$F$28)*1.2)*0.917</f>
        <v>0</v>
      </c>
      <c r="J15" s="27"/>
      <c r="L15" s="108"/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'[12]Team Report'!BA35</f>
        <v>25000</v>
      </c>
      <c r="E16" s="65" t="n">
        <f aca="false">(C16/9)*12</f>
        <v>33333.3333333333</v>
      </c>
      <c r="F16" s="65" t="n">
        <v>0</v>
      </c>
      <c r="O16" s="65" t="n">
        <f aca="false">+F16/$F$28*$O$28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'[12]Team Report'!BA36</f>
        <v>2602.32</v>
      </c>
      <c r="E17" s="65" t="n">
        <f aca="false">(C17/9)*12</f>
        <v>3469.76</v>
      </c>
      <c r="F17" s="65" t="n">
        <f aca="false">((+E17/$E$28*$F$28)*1.2)*0.917</f>
        <v>2290.8743424</v>
      </c>
      <c r="J17" s="0" t="s">
        <v>139</v>
      </c>
      <c r="K17" s="50" t="n">
        <v>55000</v>
      </c>
      <c r="L17" s="50" t="n">
        <v>3</v>
      </c>
      <c r="M17" s="50" t="n">
        <f aca="false">K17*L17</f>
        <v>165000</v>
      </c>
      <c r="O17" s="65" t="n">
        <f aca="false">+F17/$F$28*$O$28</f>
        <v>763.6247808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'[12]Team Report'!BA37</f>
        <v>40643.17</v>
      </c>
      <c r="E18" s="65" t="n">
        <f aca="false">(C18/9)*12</f>
        <v>54190.8933333333</v>
      </c>
      <c r="F18" s="65" t="n">
        <f aca="false">((+E18/$E$28*$F$28*0.5)*1.2)*0.917</f>
        <v>17889.4977072</v>
      </c>
      <c r="J18" s="0" t="s">
        <v>235</v>
      </c>
      <c r="K18" s="50" t="n">
        <v>250000</v>
      </c>
      <c r="L18" s="50" t="n">
        <v>0</v>
      </c>
      <c r="M18" s="50" t="n">
        <f aca="false">K18*L18</f>
        <v>0</v>
      </c>
      <c r="O18" s="65" t="n">
        <f aca="false">+F18/$F$28*$O$28</f>
        <v>5963.1659024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'[12]Team Report'!BA38</f>
        <v>1258.2</v>
      </c>
      <c r="E19" s="65" t="n">
        <f aca="false">(C19/9)*12</f>
        <v>1677.6</v>
      </c>
      <c r="F19" s="65" t="n">
        <f aca="false">((+E19/$E$28*$F$28)*1.2)*0.917</f>
        <v>1107.618624</v>
      </c>
      <c r="J19" s="0" t="s">
        <v>220</v>
      </c>
      <c r="K19" s="50" t="n">
        <v>250000</v>
      </c>
      <c r="L19" s="50" t="n">
        <v>0</v>
      </c>
      <c r="M19" s="50" t="n">
        <f aca="false">K19*L19</f>
        <v>0</v>
      </c>
      <c r="O19" s="65" t="n">
        <f aca="false">+F19/$F$28*$O$28</f>
        <v>369.206208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'[12]Team Report'!BA42-C39</f>
        <v>-0.180000007152557</v>
      </c>
      <c r="E20" s="65" t="n">
        <f aca="false">(C20/9)*12</f>
        <v>-0.240000009536743</v>
      </c>
      <c r="F20" s="65" t="n">
        <f aca="false">((+E20/$E$28*$F$28)*1.2)*0.917</f>
        <v>-0.158457606296539</v>
      </c>
      <c r="L20" s="50" t="n">
        <f aca="false">SUM(L17:L19)</f>
        <v>3</v>
      </c>
      <c r="M20" s="50" t="n">
        <f aca="false">SUM(M17:M19)*1.2</f>
        <v>198000</v>
      </c>
      <c r="O20" s="65" t="n">
        <f aca="false">+F20/$F$28*$O$28</f>
        <v>-0.0528192020988464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'[12]Team Report'!BA44</f>
        <v>78.79</v>
      </c>
      <c r="E21" s="65" t="n">
        <f aca="false">(C21/9)*12</f>
        <v>105.053333333333</v>
      </c>
      <c r="F21" s="65" t="n">
        <f aca="false">((+E21/$E$28*$F$28)*1.2)*0.917</f>
        <v>69.3604128</v>
      </c>
      <c r="L21" s="78"/>
      <c r="M21" s="78"/>
      <c r="O21" s="65" t="n">
        <f aca="false">+F21/$F$28*$O$28</f>
        <v>23.1201376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1600675.17999999</v>
      </c>
      <c r="E22" s="74" t="n">
        <f aca="false">SUM(E8:E21)</f>
        <v>2134233.57333332</v>
      </c>
      <c r="F22" s="74" t="n">
        <f aca="false">SUM(F8:F21)</f>
        <v>364037.321968314</v>
      </c>
      <c r="O22" s="96" t="n">
        <f aca="false">SUM(O8:O21)</f>
        <v>121345.773989438</v>
      </c>
    </row>
    <row r="24" customFormat="false" ht="12.75" hidden="false" customHeight="false" outlineLevel="0" collapsed="false">
      <c r="B24" s="73" t="s">
        <v>7</v>
      </c>
      <c r="C24" s="109"/>
      <c r="E24" s="109" t="n">
        <v>5</v>
      </c>
      <c r="F24" s="110" t="n">
        <f aca="false">SUM(L17:L19)</f>
        <v>3</v>
      </c>
      <c r="I24" s="17" t="s">
        <v>164</v>
      </c>
      <c r="J24" s="50"/>
      <c r="M24" s="0"/>
      <c r="O24" s="77" t="n">
        <f aca="false">SUM(U15:U19,U22:U26)</f>
        <v>0</v>
      </c>
    </row>
    <row r="25" customFormat="false" ht="12.75" hidden="false" customHeight="false" outlineLevel="0" collapsed="false">
      <c r="J25" s="50"/>
      <c r="M25" s="0"/>
      <c r="O25" s="65"/>
    </row>
    <row r="26" customFormat="false" ht="12.75" hidden="false" customHeight="false" outlineLevel="0" collapsed="false">
      <c r="B26" s="73" t="s">
        <v>161</v>
      </c>
      <c r="C26" s="109"/>
      <c r="E26" s="109"/>
      <c r="F26" s="109"/>
      <c r="I26" s="79" t="s">
        <v>165</v>
      </c>
      <c r="J26" s="80" t="s">
        <v>166</v>
      </c>
      <c r="K26" s="80" t="s">
        <v>167</v>
      </c>
      <c r="L26" s="80" t="s">
        <v>110</v>
      </c>
      <c r="M26" s="80" t="s">
        <v>168</v>
      </c>
      <c r="O26" s="77" t="n">
        <f aca="false">SUM(U20:U21)</f>
        <v>0</v>
      </c>
    </row>
    <row r="27" customFormat="false" ht="12.75" hidden="false" customHeight="false" outlineLevel="0" collapsed="false">
      <c r="I27" s="81" t="n">
        <f aca="false">SUM(E11:E21)</f>
        <v>616105.453333324</v>
      </c>
      <c r="J27" s="111" t="n">
        <f aca="false">+E28</f>
        <v>5</v>
      </c>
      <c r="K27" s="80" t="n">
        <f aca="false">+I27/J27</f>
        <v>123221.090666665</v>
      </c>
      <c r="L27" s="80" t="n">
        <f aca="false">+L11</f>
        <v>3</v>
      </c>
      <c r="M27" s="80" t="n">
        <f aca="false">+K27*L27</f>
        <v>369663.271999994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5</v>
      </c>
      <c r="F28" s="109" t="n">
        <f aca="false">SUM(F24:F27)</f>
        <v>3</v>
      </c>
      <c r="K28" s="0"/>
      <c r="M28" s="0"/>
      <c r="O28" s="77" t="n">
        <v>1</v>
      </c>
    </row>
    <row r="29" customFormat="false" ht="12.75" hidden="false" customHeight="false" outlineLevel="0" collapsed="false">
      <c r="B29" s="73"/>
      <c r="K29" s="0"/>
      <c r="M29" s="0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'[12]Team Report'!BA29</f>
        <v>143473.75</v>
      </c>
      <c r="E30" s="65" t="n">
        <f aca="false">(C30/9)*12</f>
        <v>191298.333333333</v>
      </c>
      <c r="F30" s="65"/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'[12]Team Report'!BA30</f>
        <v>0</v>
      </c>
      <c r="E31" s="65" t="n">
        <f aca="false">(C31/9)*12</f>
        <v>0</v>
      </c>
      <c r="F31" s="65"/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'[12]Team Report'!BA31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'[12]Team Report'!BA39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'[12]Team Report'!BA40</f>
        <v>47150.06</v>
      </c>
      <c r="E34" s="65" t="n">
        <f aca="false">(C34/9)*12</f>
        <v>62866.7466666667</v>
      </c>
      <c r="F34" s="65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'[12]Team Report'!BA41</f>
        <v>150417.01</v>
      </c>
      <c r="E35" s="65" t="n">
        <f aca="false">(C35/9)*12</f>
        <v>200556.013333333</v>
      </c>
      <c r="F35" s="65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'[12]Team Report'!BA43</f>
        <v>7417.54</v>
      </c>
      <c r="E36" s="65" t="n">
        <f aca="false">(C36/9)*12</f>
        <v>9890.05333333333</v>
      </c>
      <c r="F36" s="65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'[12]Team Report'!BA45</f>
        <v>11194108.38</v>
      </c>
      <c r="E37" s="65" t="n">
        <f aca="false">(C37/9)*12</f>
        <v>14925477.84</v>
      </c>
      <c r="F37" s="65"/>
    </row>
    <row r="38" customFormat="false" ht="12.75" hidden="true" customHeight="false" outlineLevel="0" collapsed="false">
      <c r="A38" s="63" t="s">
        <v>130</v>
      </c>
      <c r="B38" s="64" t="s">
        <v>131</v>
      </c>
      <c r="C38" s="65" t="n">
        <v>24143776.43</v>
      </c>
      <c r="E38" s="65" t="n">
        <v>32191701.9066667</v>
      </c>
      <c r="F38" s="65"/>
    </row>
    <row r="39" customFormat="false" ht="12.75" hidden="true" customHeight="false" outlineLevel="0" collapsed="false">
      <c r="B39" s="64" t="s">
        <v>150</v>
      </c>
      <c r="C39" s="65" t="n">
        <v>243106037</v>
      </c>
      <c r="E39" s="65"/>
      <c r="F39" s="65"/>
      <c r="N39" s="50"/>
    </row>
    <row r="43" customFormat="false" ht="12.75" hidden="false" customHeight="false" outlineLevel="0" collapsed="false">
      <c r="C43" s="103" t="n">
        <f aca="false">C22+C30+C31+C32+C33+C34+C35+C36+C37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245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E8/$E$22</f>
        <v>0.528778555954281</v>
      </c>
      <c r="H8" s="65" t="n">
        <f aca="false">((L27-H9)*1.2)*0.917</f>
        <v>766934.784</v>
      </c>
      <c r="I8" s="59" t="s">
        <v>120</v>
      </c>
      <c r="J8" s="50" t="n">
        <v>0</v>
      </c>
      <c r="L8" s="60" t="n">
        <f aca="false">L29</f>
        <v>836352</v>
      </c>
      <c r="Q8" s="65"/>
    </row>
    <row r="9" customFormat="false" ht="12.75" hidden="false" customHeight="false" outlineLevel="0" collapsed="false">
      <c r="A9" s="63"/>
      <c r="B9" s="64" t="s">
        <v>122</v>
      </c>
      <c r="C9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9" s="65"/>
      <c r="E9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9" s="66" t="n">
        <f aca="false">E9/$E$22</f>
        <v>0.00377976191391553</v>
      </c>
      <c r="H9" s="65" t="n">
        <f aca="false">((L20+L21)*1.2)*0.917</f>
        <v>0</v>
      </c>
      <c r="I9" s="59"/>
      <c r="L9" s="60"/>
      <c r="Q9" s="65"/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0" s="65" t="n">
        <f aca="false">((C10/9)*12)</f>
        <v>2469743.93333333</v>
      </c>
      <c r="G10" s="66" t="n">
        <f aca="false">E10/$E$22</f>
        <v>0.113260504681299</v>
      </c>
      <c r="H10" s="65" t="n">
        <f aca="false">((L29-L27)*1.2)*0.917</f>
        <v>153386.9568</v>
      </c>
      <c r="I10" s="59" t="s">
        <v>83</v>
      </c>
      <c r="J10" s="50" t="n">
        <f aca="false">(E11+E12+E13+E14+E15+E16+E17+E18+E19+E20+E21)/E28</f>
        <v>48270.18125</v>
      </c>
      <c r="K10" s="50" t="n">
        <f aca="false">K27</f>
        <v>12</v>
      </c>
      <c r="L10" s="60" t="n">
        <f aca="false">J10*K10</f>
        <v>579242.175</v>
      </c>
      <c r="Q10" s="65"/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1" s="67" t="n">
        <f aca="false">((C11/9)*12)-500000</f>
        <v>985995.8</v>
      </c>
      <c r="G11" s="66" t="n">
        <f aca="false">E11/$E$22</f>
        <v>0.0452169880506265</v>
      </c>
      <c r="H11" s="65" t="n">
        <v>26409.6</v>
      </c>
      <c r="I11" s="59"/>
      <c r="L11" s="60"/>
      <c r="Q11" s="65"/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2" s="67" t="n">
        <f aca="false">((C12/9)*12)-500000-500000</f>
        <v>877593.106666667</v>
      </c>
      <c r="G12" s="66" t="n">
        <f aca="false">E12/$E$22</f>
        <v>0.0402457262165406</v>
      </c>
      <c r="H12" s="65" t="n">
        <v>16506</v>
      </c>
      <c r="I12" s="68" t="s">
        <v>129</v>
      </c>
      <c r="J12" s="69"/>
      <c r="K12" s="69"/>
      <c r="L12" s="70" t="n">
        <f aca="false">L8+L10</f>
        <v>1415594.175</v>
      </c>
      <c r="N12" s="50"/>
      <c r="P12" s="71"/>
      <c r="Q12" s="65"/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Origination'!C14+[4]Fundamentals!C14-C31</f>
        <v>0.240000000019791</v>
      </c>
      <c r="E13" s="67" t="n">
        <f aca="false">(C13/9)*12</f>
        <v>0.320000000026387</v>
      </c>
      <c r="G13" s="66" t="n">
        <f aca="false">E13/$E$22</f>
        <v>1.46749470711677E-008</v>
      </c>
      <c r="H13" s="65" t="n">
        <f aca="false">(((E13/$E$28)*$K$10)*1.2)*0.917</f>
        <v>0.0264096000021778</v>
      </c>
      <c r="Q13" s="65"/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4" s="67" t="n">
        <f aca="false">((C14/9)*12)-75000</f>
        <v>139417.333333333</v>
      </c>
      <c r="G14" s="66" t="n">
        <f aca="false">E14/$E$22</f>
        <v>0.00639356871031657</v>
      </c>
      <c r="H14" s="65" t="n">
        <v>22008</v>
      </c>
      <c r="Q14" s="65"/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5" s="67" t="n">
        <f aca="false">(C15/9)*12</f>
        <v>0</v>
      </c>
      <c r="G15" s="66" t="n">
        <f aca="false">E15/$E$22</f>
        <v>0</v>
      </c>
      <c r="H15" s="65" t="n">
        <f aca="false">(((E15/$E$28)*$K$10)*1.2)*0.917</f>
        <v>0</v>
      </c>
      <c r="I15" s="50" t="s">
        <v>136</v>
      </c>
      <c r="J15" s="50" t="n">
        <v>33000</v>
      </c>
      <c r="K15" s="50" t="n">
        <f aca="false">1-1</f>
        <v>0</v>
      </c>
      <c r="L15" s="50" t="n">
        <f aca="false">J15*K15</f>
        <v>0</v>
      </c>
      <c r="Q15" s="65"/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6" s="67" t="n">
        <f aca="false">((C16/9)*12)</f>
        <v>7866.66666666667</v>
      </c>
      <c r="G16" s="66" t="n">
        <f aca="false">E16/$E$22</f>
        <v>0.000360759115469791</v>
      </c>
      <c r="H16" s="65" t="n">
        <v>0</v>
      </c>
      <c r="I16" s="50" t="s">
        <v>139</v>
      </c>
      <c r="J16" s="50" t="n">
        <v>48400</v>
      </c>
      <c r="K16" s="50" t="n">
        <f aca="false">12</f>
        <v>12</v>
      </c>
      <c r="L16" s="50" t="n">
        <f aca="false">J16*K16</f>
        <v>580800</v>
      </c>
      <c r="Q16" s="65"/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7" s="67" t="n">
        <f aca="false">((C17/9)*12)-250000-75000</f>
        <v>142873.226666667</v>
      </c>
      <c r="G17" s="66" t="n">
        <f aca="false">E17/$E$22</f>
        <v>0.00655205324702309</v>
      </c>
      <c r="H17" s="65" t="n">
        <v>0</v>
      </c>
      <c r="I17" s="50" t="s">
        <v>142</v>
      </c>
      <c r="J17" s="50" t="n">
        <v>49500</v>
      </c>
      <c r="K17" s="50" t="n">
        <v>0</v>
      </c>
      <c r="L17" s="50" t="n">
        <f aca="false">J17*K17</f>
        <v>0</v>
      </c>
      <c r="Q17" s="65"/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8" s="67" t="n">
        <f aca="false">((C18/9)*12)-75000-75000-50000-25000</f>
        <v>145613.76</v>
      </c>
      <c r="G18" s="66" t="n">
        <f aca="false">E18/$E$22</f>
        <v>0.00667773193955472</v>
      </c>
      <c r="H18" s="65" t="n">
        <v>11004</v>
      </c>
      <c r="I18" s="50" t="s">
        <v>145</v>
      </c>
      <c r="J18" s="50" t="n">
        <v>57750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19" s="67" t="n">
        <f aca="false">((C19/9)*12)</f>
        <v>21.3333333333333</v>
      </c>
      <c r="G19" s="66" t="n">
        <f aca="false">E19/$E$22</f>
        <v>9.7832980466384E-007</v>
      </c>
      <c r="H19" s="65" t="n">
        <v>0</v>
      </c>
      <c r="I19" s="50" t="s">
        <v>148</v>
      </c>
      <c r="J19" s="50" t="n">
        <v>71500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0" s="67" t="n">
        <f aca="false">((C20/9)*12)-75000</f>
        <v>181051.88</v>
      </c>
      <c r="G20" s="66" t="n">
        <f aca="false">E20/$E$22</f>
        <v>0.00830289611223848</v>
      </c>
      <c r="H20" s="65" t="n">
        <v>5502</v>
      </c>
      <c r="I20" s="50" t="s">
        <v>151</v>
      </c>
      <c r="J20" s="50" t="n">
        <v>60500</v>
      </c>
      <c r="K20" s="50" t="n">
        <v>0</v>
      </c>
      <c r="L20" s="50" t="n">
        <f aca="false">J20*K20</f>
        <v>0</v>
      </c>
      <c r="P20" s="27"/>
      <c r="Q20" s="65"/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1" s="67" t="n">
        <f aca="false">((C21/9)*12)-1000000-100000</f>
        <v>5242795.57333334</v>
      </c>
      <c r="G21" s="66" t="n">
        <f aca="false">E21/$E$22</f>
        <v>0.240430461053984</v>
      </c>
      <c r="H21" s="65" t="n">
        <f aca="false">(((E21/$E$28)*$K$10-393210)*1.2)*0.917</f>
        <v>-0.365332799802208</v>
      </c>
      <c r="I21" s="50" t="s">
        <v>154</v>
      </c>
      <c r="J21" s="50" t="n">
        <v>89100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21862840.12</v>
      </c>
      <c r="E22" s="74" t="n">
        <f aca="false">SUM(E8:E21)</f>
        <v>21805870.8133333</v>
      </c>
      <c r="G22" s="75" t="n">
        <f aca="false">E22/$E$22</f>
        <v>1</v>
      </c>
      <c r="H22" s="74" t="n">
        <f aca="false">SUM(H8:H21)</f>
        <v>1001751.0018768</v>
      </c>
      <c r="I22" s="50" t="s">
        <v>157</v>
      </c>
      <c r="J22" s="50" t="n">
        <v>110000</v>
      </c>
      <c r="K22" s="50" t="n">
        <v>0</v>
      </c>
      <c r="L22" s="50" t="n">
        <f aca="false">J22*K22</f>
        <v>0</v>
      </c>
      <c r="P22" s="27"/>
      <c r="Q22" s="76"/>
    </row>
    <row r="23" customFormat="false" ht="12.75" hidden="false" customHeight="false" outlineLevel="0" collapsed="false">
      <c r="I23" s="50" t="s">
        <v>158</v>
      </c>
      <c r="J23" s="50" t="n">
        <v>143000</v>
      </c>
      <c r="K23" s="50" t="n">
        <v>0</v>
      </c>
      <c r="L23" s="50" t="n">
        <f aca="false">J23*K23</f>
        <v>0</v>
      </c>
      <c r="P23" s="27"/>
      <c r="Q23" s="27"/>
    </row>
    <row r="24" customFormat="false" ht="12.75" hidden="false" customHeight="false" outlineLevel="0" collapsed="false">
      <c r="B24" s="73" t="s">
        <v>7</v>
      </c>
      <c r="C24" s="65"/>
      <c r="E24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4" s="77" t="n">
        <f aca="false">+K15+K16+K17+K18+K19+K22+K23+K24+K25+K26</f>
        <v>12</v>
      </c>
      <c r="I24" s="50" t="s">
        <v>159</v>
      </c>
      <c r="J24" s="50" t="n">
        <v>165000</v>
      </c>
      <c r="K24" s="50" t="n">
        <v>0</v>
      </c>
      <c r="L24" s="50" t="n">
        <f aca="false">J24*K24</f>
        <v>0</v>
      </c>
      <c r="P24" s="27"/>
      <c r="Q24" s="65"/>
    </row>
    <row r="25" customFormat="false" ht="12.75" hidden="false" customHeight="false" outlineLevel="0" collapsed="false">
      <c r="C25" s="65"/>
      <c r="E25" s="65"/>
      <c r="H25" s="65"/>
      <c r="I25" s="50" t="s">
        <v>160</v>
      </c>
      <c r="J25" s="50" t="n">
        <v>198000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B26" s="73" t="s">
        <v>161</v>
      </c>
      <c r="C26" s="65"/>
      <c r="E26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6" s="77" t="n">
        <f aca="false">+K20+K21</f>
        <v>0</v>
      </c>
      <c r="I26" s="50" t="s">
        <v>162</v>
      </c>
      <c r="J26" s="50" t="n">
        <v>220000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K27" s="50" t="n">
        <f aca="false">SUM(K15:K26)</f>
        <v>12</v>
      </c>
      <c r="L27" s="50" t="n">
        <f aca="false">SUM(L15:L26)*1.2</f>
        <v>696960</v>
      </c>
      <c r="P27" s="27"/>
      <c r="Q27" s="27"/>
    </row>
    <row r="28" customFormat="false" ht="12.75" hidden="false" customHeight="false" outlineLevel="0" collapsed="false">
      <c r="B28" s="73" t="s">
        <v>163</v>
      </c>
      <c r="C28" s="65"/>
      <c r="E28" s="77" t="n">
        <f aca="false">SUM(E24:E26)</f>
        <v>160</v>
      </c>
      <c r="G28" s="50"/>
      <c r="H28" s="77" t="n">
        <f aca="false">SUM(H24:H26)</f>
        <v>12</v>
      </c>
      <c r="L28" s="78" t="n">
        <v>0.2</v>
      </c>
      <c r="P28" s="27"/>
      <c r="Q28" s="65"/>
    </row>
    <row r="29" customFormat="false" ht="12.75" hidden="true" customHeight="false" outlineLevel="0" collapsed="false">
      <c r="L29" s="50" t="n">
        <f aca="false">L27*1.2</f>
        <v>836352</v>
      </c>
      <c r="P29" s="27"/>
      <c r="Q29" s="27"/>
    </row>
    <row r="30" customFormat="false" ht="12.75" hidden="true" customHeight="false" outlineLevel="0" collapsed="false">
      <c r="H30" s="17" t="s">
        <v>164</v>
      </c>
      <c r="L30" s="0"/>
      <c r="P30" s="27"/>
      <c r="Q30" s="27"/>
    </row>
    <row r="31" customFormat="false" ht="12.75" hidden="true" customHeight="false" outlineLevel="0" collapsed="false">
      <c r="B31" s="64" t="s">
        <v>131</v>
      </c>
      <c r="C31" s="65" t="n">
        <v>254512</v>
      </c>
      <c r="L31" s="0"/>
      <c r="P31" s="27"/>
      <c r="Q31" s="27"/>
    </row>
    <row r="32" customFormat="false" ht="12.75" hidden="true" customHeight="false" outlineLevel="0" collapsed="false">
      <c r="H32" s="79" t="s">
        <v>165</v>
      </c>
      <c r="I32" s="80" t="s">
        <v>166</v>
      </c>
      <c r="J32" s="80" t="s">
        <v>167</v>
      </c>
      <c r="K32" s="80" t="s">
        <v>110</v>
      </c>
      <c r="L32" s="80" t="s">
        <v>168</v>
      </c>
      <c r="P32" s="27"/>
      <c r="Q32" s="27"/>
    </row>
    <row r="33" customFormat="false" ht="12.75" hidden="true" customHeight="false" outlineLevel="0" collapsed="false">
      <c r="H33" s="81" t="n">
        <f aca="false">SUM(E11:E21)</f>
        <v>7723229</v>
      </c>
      <c r="I33" s="80" t="n">
        <f aca="false">+E28</f>
        <v>160</v>
      </c>
      <c r="J33" s="80" t="n">
        <f aca="false">+H33/I33</f>
        <v>48270.18125</v>
      </c>
      <c r="K33" s="80" t="n">
        <f aca="false">+K10</f>
        <v>12</v>
      </c>
      <c r="L33" s="80" t="n">
        <f aca="false">+J33*K33</f>
        <v>579242.175</v>
      </c>
      <c r="P33" s="27"/>
      <c r="Q33" s="27"/>
    </row>
    <row r="34" customFormat="false" ht="12.75" hidden="true" customHeight="false" outlineLevel="0" collapsed="false"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false" customHeight="false" outlineLevel="0" collapsed="false">
      <c r="P38" s="27"/>
      <c r="Q38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7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</row>
    <row r="2" customFormat="false" ht="18" hidden="false" customHeight="false" outlineLevel="0" collapsed="false">
      <c r="B2" s="51" t="s">
        <v>171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O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O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1512720</v>
      </c>
      <c r="O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O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75000</v>
      </c>
      <c r="I10" s="59"/>
      <c r="L10" s="60"/>
      <c r="O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15000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8</v>
      </c>
      <c r="L11" s="60" t="n">
        <f aca="false">J11*K11</f>
        <v>386161.45</v>
      </c>
      <c r="O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3125</v>
      </c>
      <c r="I12" s="59"/>
      <c r="L12" s="60"/>
      <c r="O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3125</v>
      </c>
      <c r="I13" s="68" t="s">
        <v>129</v>
      </c>
      <c r="J13" s="69"/>
      <c r="K13" s="69"/>
      <c r="L13" s="70" t="n">
        <f aca="false">L8+L11</f>
        <v>1898881.45</v>
      </c>
      <c r="O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O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2500</v>
      </c>
      <c r="O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O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62.5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O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O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12500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O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0.125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O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3125</v>
      </c>
      <c r="I21" s="50" t="s">
        <v>151</v>
      </c>
      <c r="J21" s="50" t="n">
        <v>60500</v>
      </c>
      <c r="K21" s="50" t="n">
        <v>1</v>
      </c>
      <c r="L21" s="50" t="n">
        <f aca="false">J21*K21</f>
        <v>60500</v>
      </c>
      <c r="O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114437.625</v>
      </c>
      <c r="I23" s="50" t="s">
        <v>157</v>
      </c>
      <c r="J23" s="50" t="n">
        <v>110000</v>
      </c>
      <c r="K23" s="50" t="n">
        <v>2</v>
      </c>
      <c r="L23" s="50" t="n">
        <f aca="false">J23*K23</f>
        <v>220000</v>
      </c>
      <c r="O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4</v>
      </c>
      <c r="L24" s="50" t="n">
        <f aca="false">J24*K24</f>
        <v>572000</v>
      </c>
      <c r="O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O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65"/>
    </row>
    <row r="28" customFormat="false" ht="12.75" hidden="false" customHeight="false" outlineLevel="0" collapsed="false">
      <c r="K28" s="50" t="n">
        <f aca="false">SUM(K16:K27)</f>
        <v>8</v>
      </c>
      <c r="L28" s="50" t="n">
        <f aca="false">SUM(L16:L27)*1.2</f>
        <v>1260600</v>
      </c>
      <c r="O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</v>
      </c>
      <c r="L29" s="78" t="n">
        <v>0.2</v>
      </c>
      <c r="O29" s="65"/>
    </row>
    <row r="30" customFormat="false" ht="12.75" hidden="true" customHeight="false" outlineLevel="0" collapsed="false">
      <c r="L30" s="50" t="n">
        <f aca="false">L28*1.2</f>
        <v>1512720</v>
      </c>
      <c r="O30" s="27"/>
    </row>
    <row r="31" customFormat="false" ht="12.75" hidden="true" customHeight="false" outlineLevel="0" collapsed="false">
      <c r="H31" s="17" t="s">
        <v>164</v>
      </c>
      <c r="L31" s="0"/>
      <c r="O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O34" s="27"/>
    </row>
    <row r="35" customFormat="false" ht="12.75" hidden="true" customHeight="false" outlineLevel="0" collapsed="false">
      <c r="O35" s="27"/>
    </row>
    <row r="36" customFormat="false" ht="12.75" hidden="true" customHeight="false" outlineLevel="0" collapsed="false">
      <c r="O36" s="27"/>
    </row>
    <row r="37" customFormat="false" ht="12.75" hidden="true" customHeight="false" outlineLevel="0" collapsed="false">
      <c r="O37" s="27"/>
    </row>
    <row r="38" customFormat="false" ht="12.75" hidden="true" customHeight="false" outlineLevel="0" collapsed="false">
      <c r="O38" s="27"/>
    </row>
    <row r="39" customFormat="false" ht="12.75" hidden="false" customHeight="false" outlineLevel="0" collapsed="false">
      <c r="O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246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((M15+M16+M17+M18+M19+M22+M23+M25)*1.2)*0.917</f>
        <v>116202.24</v>
      </c>
      <c r="H8" s="91" t="n">
        <f aca="false">E8/$E$22</f>
        <v>0.468340131539092</v>
      </c>
      <c r="J8" s="88" t="s">
        <v>120</v>
      </c>
      <c r="K8" s="50" t="n">
        <v>0</v>
      </c>
      <c r="L8" s="27"/>
      <c r="M8" s="92" t="n">
        <f aca="false">M27*1.2</f>
        <v>126720</v>
      </c>
      <c r="O8" s="65" t="n">
        <f aca="false">+F8/$F$28*$O$28</f>
        <v>58101.12</v>
      </c>
    </row>
    <row r="9" customFormat="false" ht="12.75" hidden="false" customHeight="false" outlineLevel="0" collapsed="false">
      <c r="A9" s="63"/>
      <c r="B9" s="64" t="s">
        <v>192</v>
      </c>
      <c r="C9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9" s="65" t="n">
        <f aca="false">(C9/9)*12</f>
        <v>3536680</v>
      </c>
      <c r="F9" s="65" t="n">
        <f aca="false">((M20+M21)*1.2)*0.917</f>
        <v>0</v>
      </c>
      <c r="H9" s="91" t="n">
        <f aca="false">E9/$E$22</f>
        <v>0.187068063550168</v>
      </c>
      <c r="J9" s="88"/>
      <c r="K9" s="27"/>
      <c r="L9" s="27"/>
      <c r="M9" s="89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0" s="65" t="n">
        <f aca="false">(C10/9)*12</f>
        <v>2048457.94666667</v>
      </c>
      <c r="F10" s="65" t="n">
        <f aca="false">((M27*0.2)*1.2)*0.917</f>
        <v>23240.448</v>
      </c>
      <c r="H10" s="91" t="n">
        <f aca="false">E10/$E$22</f>
        <v>0.108350504243213</v>
      </c>
      <c r="J10" s="88" t="s">
        <v>83</v>
      </c>
      <c r="K10" s="50" t="n">
        <f aca="false">(E11+E12+E13+E14+E15+E16+E17+E18+E19+E20+E21)/E28</f>
        <v>31676.1819007092</v>
      </c>
      <c r="L10" s="27" t="n">
        <f aca="false">L27</f>
        <v>2</v>
      </c>
      <c r="M10" s="92" t="n">
        <f aca="false">K10*L10</f>
        <v>63352.3638014184</v>
      </c>
      <c r="O10" s="65" t="n">
        <f aca="false">+F10/$F$28*$O$28</f>
        <v>11620.224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1" s="67" t="n">
        <f aca="false">(C11/9)*12*1.2</f>
        <v>890331.52</v>
      </c>
      <c r="F11" s="65" t="n">
        <f aca="false">((E11/$E$28*$L$10)*1.2)*0.917</f>
        <v>13896.7490015319</v>
      </c>
      <c r="H11" s="91" t="n">
        <f aca="false">E11/$E$22</f>
        <v>0.04709292143029</v>
      </c>
      <c r="J11" s="88"/>
      <c r="K11" s="27"/>
      <c r="L11" s="27"/>
      <c r="M11" s="89"/>
      <c r="O11" s="65" t="n">
        <f aca="false">+F11/$F$28*$O$28</f>
        <v>6948.37450076596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2" s="67" t="n">
        <f aca="false">(C12/9)*12*1.2</f>
        <v>1622984.656</v>
      </c>
      <c r="F12" s="65" t="n">
        <f aca="false">((E12/$E$28*$L$10)*1.2)*0.917</f>
        <v>25332.3732689702</v>
      </c>
      <c r="H12" s="91" t="n">
        <f aca="false">E12/$E$22</f>
        <v>0.08584565094087</v>
      </c>
      <c r="J12" s="93" t="s">
        <v>129</v>
      </c>
      <c r="K12" s="94"/>
      <c r="L12" s="94"/>
      <c r="M12" s="95" t="n">
        <f aca="false">M8+M10</f>
        <v>190072.363801418</v>
      </c>
      <c r="O12" s="65" t="n">
        <f aca="false">+F12/$F$28*$O$28</f>
        <v>12666.1866344851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Book'!C14+[5]Structuring_Fund!C14+[5]Services!C14+[5]Options!C14-C31</f>
        <v>0.380000000121072</v>
      </c>
      <c r="E13" s="67" t="n">
        <f aca="false">(C13/9)*12*1.2</f>
        <v>0.608000000193715</v>
      </c>
      <c r="F13" s="65" t="n">
        <f aca="false">((E13/$E$28*$L$10)*1.2)*0.917</f>
        <v>0.00948997447110871</v>
      </c>
      <c r="H13" s="91" t="n">
        <f aca="false">E13/$E$22</f>
        <v>3.21593649057139E-008</v>
      </c>
      <c r="N13" s="71"/>
      <c r="O13" s="65" t="n">
        <f aca="false">+F13/$F$28*$O$28</f>
        <v>0.00474498723555436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4" s="67" t="n">
        <f aca="false">(C14/9)*12*1.2</f>
        <v>149163.408</v>
      </c>
      <c r="F14" s="65" t="n">
        <f aca="false">((E14/$E$28*$L$10)*1.2)*0.917</f>
        <v>2328.21864061277</v>
      </c>
      <c r="H14" s="91" t="n">
        <f aca="false">E14/$E$22</f>
        <v>0.00788980339954525</v>
      </c>
      <c r="K14" s="50"/>
      <c r="O14" s="65" t="n">
        <f aca="false">+F14/$F$28*$O$28</f>
        <v>1164.10932030638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5" s="67" t="n">
        <f aca="false">(C15/9)*12*1.2</f>
        <v>0</v>
      </c>
      <c r="F15" s="65" t="n">
        <f aca="false">((E15/$E$28*$L$10)*1.2)*0.917</f>
        <v>0</v>
      </c>
      <c r="H15" s="91" t="n">
        <f aca="false">E15/$E$22</f>
        <v>0</v>
      </c>
      <c r="J15" s="0" t="s">
        <v>193</v>
      </c>
      <c r="K15" s="50" t="n">
        <v>33600</v>
      </c>
      <c r="L15" s="0" t="n">
        <v>0</v>
      </c>
      <c r="M15" s="50" t="n">
        <f aca="false">K15*L15</f>
        <v>0</v>
      </c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6" s="67" t="n">
        <f aca="false">(C16/9)*12*1.2</f>
        <v>8480</v>
      </c>
      <c r="F16" s="65" t="n">
        <f aca="false">((E16/$E$28*$L$10)*1.2)*0.917</f>
        <v>132.360170212766</v>
      </c>
      <c r="H16" s="91" t="n">
        <f aca="false">E16/$E$22</f>
        <v>0.000448538510384153</v>
      </c>
      <c r="J16" s="0" t="s">
        <v>139</v>
      </c>
      <c r="K16" s="50" t="n">
        <v>52800</v>
      </c>
      <c r="L16" s="0" t="n">
        <v>2</v>
      </c>
      <c r="M16" s="50" t="n">
        <f aca="false">K16*L16</f>
        <v>105600</v>
      </c>
      <c r="O16" s="65" t="n">
        <f aca="false">+F16/$F$28*$O$28</f>
        <v>66.180085106383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7" s="67" t="n">
        <f aca="false">(C17/9)*12*1.2</f>
        <v>459.663999999995</v>
      </c>
      <c r="F17" s="65" t="n">
        <f aca="false">((E17/$E$28*$L$10)*1.2)*0.917</f>
        <v>7.17467043404247</v>
      </c>
      <c r="H17" s="91" t="n">
        <f aca="false">E17/$E$22</f>
        <v>2.43133261600494E-005</v>
      </c>
      <c r="J17" s="0" t="s">
        <v>142</v>
      </c>
      <c r="K17" s="50" t="n">
        <v>54000</v>
      </c>
      <c r="L17" s="0" t="n">
        <v>0</v>
      </c>
      <c r="M17" s="50" t="n">
        <f aca="false">K17*L17</f>
        <v>0</v>
      </c>
      <c r="O17" s="65" t="n">
        <f aca="false">+F17/$F$28*$O$28</f>
        <v>3.58733521702123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8" s="67" t="n">
        <f aca="false">(C18/9)*12*1.2</f>
        <v>779438.72</v>
      </c>
      <c r="F18" s="65" t="n">
        <f aca="false">((E18/$E$28*$L$10)*1.2)*0.917</f>
        <v>12165.8775530213</v>
      </c>
      <c r="H18" s="91" t="n">
        <f aca="false">E18/$E$22</f>
        <v>0.0412273917929872</v>
      </c>
      <c r="J18" s="0" t="s">
        <v>145</v>
      </c>
      <c r="K18" s="50" t="n">
        <v>63000</v>
      </c>
      <c r="L18" s="0" t="n">
        <v>0</v>
      </c>
      <c r="M18" s="50" t="n">
        <f aca="false">K18*L18</f>
        <v>0</v>
      </c>
      <c r="O18" s="65" t="n">
        <f aca="false">+F18/$F$28*$O$28</f>
        <v>6082.93877651064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19" s="67" t="n">
        <f aca="false">(C19/9)*12*1.2</f>
        <v>125.088</v>
      </c>
      <c r="F19" s="65" t="n">
        <f aca="false">((E19/$E$28*$L$10)*1.2)*0.917</f>
        <v>1.9524373787234</v>
      </c>
      <c r="H19" s="91" t="n">
        <f aca="false">E19/$E$22</f>
        <v>6.61636617770436E-006</v>
      </c>
      <c r="J19" s="0" t="s">
        <v>148</v>
      </c>
      <c r="K19" s="50" t="n">
        <v>78000</v>
      </c>
      <c r="L19" s="0" t="n">
        <v>0</v>
      </c>
      <c r="M19" s="50" t="n">
        <f aca="false">K19*L19</f>
        <v>0</v>
      </c>
      <c r="O19" s="65" t="n">
        <f aca="false">+F19/$F$28*$O$28</f>
        <v>0.976218689361702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0" s="67" t="n">
        <f aca="false">(C20/9)*12*1.2</f>
        <v>1013453.6</v>
      </c>
      <c r="F20" s="65" t="n">
        <f aca="false">((E20/$E$28*$L$10)*1.2)*0.917</f>
        <v>15818.5012970213</v>
      </c>
      <c r="H20" s="91" t="n">
        <f aca="false">E20/$E$22</f>
        <v>0.0536053028405021</v>
      </c>
      <c r="J20" s="0" t="s">
        <v>151</v>
      </c>
      <c r="K20" s="50" t="n">
        <v>66000</v>
      </c>
      <c r="L20" s="0" t="n">
        <v>0</v>
      </c>
      <c r="M20" s="50" t="n">
        <f aca="false">K20*L20</f>
        <v>0</v>
      </c>
      <c r="O20" s="65" t="n">
        <f aca="false">+F20/$F$28*$O$28</f>
        <v>7909.25064851064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1" s="67" t="n">
        <f aca="false">(C21/9)*12*1.2</f>
        <v>1904.384</v>
      </c>
      <c r="F21" s="65" t="n">
        <f aca="false">((E21/$E$28*$L$10)*1.2)*0.917</f>
        <v>29.7245979234043</v>
      </c>
      <c r="H21" s="91" t="n">
        <f aca="false">E21/$E$22</f>
        <v>0.000100729901245214</v>
      </c>
      <c r="J21" s="0" t="s">
        <v>154</v>
      </c>
      <c r="K21" s="50" t="n">
        <v>97200</v>
      </c>
      <c r="L21" s="0" t="n">
        <v>0</v>
      </c>
      <c r="M21" s="50" t="n">
        <f aca="false">K21*L21</f>
        <v>0</v>
      </c>
      <c r="O21" s="65" t="n">
        <f aca="false">+F21/$F$28*$O$28</f>
        <v>14.8622989617021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13621091.79</v>
      </c>
      <c r="E22" s="74" t="n">
        <f aca="false">SUM(E8:E21)</f>
        <v>18905845.9946667</v>
      </c>
      <c r="F22" s="96" t="n">
        <f aca="false">SUM(F8:F21)</f>
        <v>209155.629127081</v>
      </c>
      <c r="H22" s="97" t="n">
        <f aca="false">SUM(H8:H21)</f>
        <v>1</v>
      </c>
      <c r="J22" s="0" t="s">
        <v>157</v>
      </c>
      <c r="K22" s="50" t="n">
        <v>120000</v>
      </c>
      <c r="L22" s="0" t="n">
        <v>0</v>
      </c>
      <c r="M22" s="50" t="n">
        <f aca="false">K22*L22</f>
        <v>0</v>
      </c>
      <c r="O22" s="96" t="n">
        <f aca="false">SUM(O8:O21)</f>
        <v>104577.81456354</v>
      </c>
    </row>
    <row r="23" customFormat="false" ht="12.75" hidden="false" customHeight="false" outlineLevel="0" collapsed="false">
      <c r="J23" s="0" t="s">
        <v>158</v>
      </c>
      <c r="K23" s="50" t="n">
        <v>156000</v>
      </c>
      <c r="L23" s="0" t="n">
        <v>0</v>
      </c>
      <c r="M23" s="50" t="n">
        <f aca="false">K23*L23</f>
        <v>0</v>
      </c>
    </row>
    <row r="24" customFormat="false" ht="12.75" hidden="false" customHeight="false" outlineLevel="0" collapsed="false">
      <c r="B24" s="73" t="s">
        <v>7</v>
      </c>
      <c r="C24" s="65"/>
      <c r="E24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4" s="77" t="n">
        <f aca="false">SUM(L15:L19,L22:L26)</f>
        <v>2</v>
      </c>
      <c r="J24" s="0" t="s">
        <v>159</v>
      </c>
      <c r="K24" s="50" t="n">
        <v>180000</v>
      </c>
      <c r="L24" s="0" t="n">
        <v>0</v>
      </c>
      <c r="M24" s="50" t="n">
        <f aca="false">K24*L24</f>
        <v>0</v>
      </c>
      <c r="O24" s="77" t="n">
        <f aca="false">SUM(U15:U19,U22:U26)</f>
        <v>0</v>
      </c>
    </row>
    <row r="25" customFormat="false" ht="12.75" hidden="false" customHeight="false" outlineLevel="0" collapsed="false">
      <c r="C25" s="65"/>
      <c r="E25" s="65"/>
      <c r="F25" s="65"/>
      <c r="J25" s="0" t="s">
        <v>160</v>
      </c>
      <c r="K25" s="50" t="n">
        <v>216000</v>
      </c>
      <c r="L25" s="0" t="n">
        <v>0</v>
      </c>
      <c r="M25" s="50" t="n">
        <f aca="false">K25*L25</f>
        <v>0</v>
      </c>
      <c r="O25" s="65"/>
    </row>
    <row r="26" customFormat="false" ht="12.75" hidden="false" customHeight="false" outlineLevel="0" collapsed="false">
      <c r="B26" s="73" t="s">
        <v>194</v>
      </c>
      <c r="C26" s="65"/>
      <c r="E26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6" s="77" t="n">
        <f aca="false">SUM(L20:L21)</f>
        <v>0</v>
      </c>
      <c r="J26" s="0" t="s">
        <v>162</v>
      </c>
      <c r="K26" s="50" t="n">
        <v>240000</v>
      </c>
      <c r="L26" s="0" t="n">
        <v>0</v>
      </c>
      <c r="M26" s="50" t="n">
        <f aca="false">K26*L26</f>
        <v>0</v>
      </c>
      <c r="O26" s="77" t="n">
        <f aca="false">SUM(U20:U21)</f>
        <v>0</v>
      </c>
    </row>
    <row r="27" customFormat="false" ht="12.75" hidden="false" customHeight="false" outlineLevel="0" collapsed="false">
      <c r="B27" s="73"/>
      <c r="L27" s="0" t="n">
        <f aca="false">SUM(L15:L26)</f>
        <v>2</v>
      </c>
      <c r="M27" s="50" t="n">
        <f aca="false">SUM(M15:M26)</f>
        <v>105600</v>
      </c>
    </row>
    <row r="28" customFormat="false" ht="12.75" hidden="false" customHeight="false" outlineLevel="0" collapsed="false">
      <c r="B28" s="73" t="s">
        <v>163</v>
      </c>
      <c r="E28" s="98" t="n">
        <f aca="false">SUM(E24:E26)</f>
        <v>141</v>
      </c>
      <c r="F28" s="77" t="n">
        <f aca="false">SUM(F24:F26)</f>
        <v>2</v>
      </c>
      <c r="H28" s="50"/>
      <c r="O28" s="77" t="n">
        <v>1</v>
      </c>
    </row>
    <row r="30" customFormat="false" ht="12.75" hidden="false" customHeight="false" outlineLevel="0" collapsed="false">
      <c r="I30" s="17" t="s">
        <v>164</v>
      </c>
      <c r="J30" s="50"/>
      <c r="K30" s="50"/>
      <c r="L30" s="50"/>
    </row>
    <row r="31" customFormat="false" ht="12.75" hidden="true" customHeight="false" outlineLevel="0" collapsed="false">
      <c r="B31" s="64" t="s">
        <v>131</v>
      </c>
      <c r="C31" s="65" t="n">
        <v>524067</v>
      </c>
      <c r="J31" s="50"/>
      <c r="K31" s="50"/>
      <c r="L31" s="50"/>
    </row>
    <row r="32" customFormat="false" ht="12.75" hidden="false" customHeight="false" outlineLevel="0" collapsed="false">
      <c r="I32" s="79" t="s">
        <v>165</v>
      </c>
      <c r="J32" s="80" t="s">
        <v>166</v>
      </c>
      <c r="K32" s="80" t="s">
        <v>167</v>
      </c>
      <c r="L32" s="80" t="s">
        <v>110</v>
      </c>
      <c r="M32" s="80" t="s">
        <v>168</v>
      </c>
    </row>
    <row r="33" customFormat="false" ht="12.75" hidden="false" customHeight="false" outlineLevel="0" collapsed="false">
      <c r="I33" s="81" t="n">
        <f aca="false">SUM(E11:E21)</f>
        <v>4466341.648</v>
      </c>
      <c r="J33" s="80" t="n">
        <f aca="false">+E28</f>
        <v>141</v>
      </c>
      <c r="K33" s="80" t="n">
        <f aca="false">+I33/J33</f>
        <v>31676.1819007092</v>
      </c>
      <c r="L33" s="80" t="n">
        <f aca="false">+L10</f>
        <v>2</v>
      </c>
      <c r="M33" s="80" t="n">
        <f aca="false">+K33*L33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4.14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17.99"/>
    <col collapsed="false" customWidth="true" hidden="true" outlineLevel="0" max="17" min="17" style="0" width="24.13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51" t="str">
        <f aca="false">'[7]Team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247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'[8]Executive Orig'!C8+[8]Trading!C8+[8]Origination!C8+'[8]Mid Market'!C8+[8]Services!C8+[8]Fundamentals!C8</f>
        <v>4789958.99</v>
      </c>
      <c r="E8" s="65" t="n">
        <f aca="false">(C8/9)*12</f>
        <v>6386611.98666667</v>
      </c>
      <c r="F8" s="65"/>
      <c r="G8" s="65" t="n">
        <f aca="false">((SUM(N15:N19,N22:N26))*1.2)*0.917</f>
        <v>327479.04</v>
      </c>
      <c r="H8" s="65"/>
      <c r="I8" s="91" t="n">
        <f aca="false">+G8/$G$22</f>
        <v>0.641459157967979</v>
      </c>
      <c r="K8" s="88" t="s">
        <v>120</v>
      </c>
      <c r="L8" s="50" t="n">
        <v>0</v>
      </c>
      <c r="M8" s="27" t="n">
        <v>64</v>
      </c>
      <c r="N8" s="92" t="n">
        <f aca="false">N27</f>
        <v>357120</v>
      </c>
      <c r="O8" s="65" t="n">
        <f aca="false">+G8/$G$28*$O$28</f>
        <v>54579.84</v>
      </c>
    </row>
    <row r="9" customFormat="false" ht="12.75" hidden="false" customHeight="false" outlineLevel="0" collapsed="false">
      <c r="B9" s="64" t="s">
        <v>192</v>
      </c>
      <c r="C9" s="65" t="n">
        <f aca="false">'[8]Executive Orig'!C10+[8]Trading!C10+[8]Origination!C10+'[8]Mid Market'!C10+[8]Services!C10+[8]Fundamentals!C10</f>
        <v>804567</v>
      </c>
      <c r="E9" s="65" t="n">
        <f aca="false">(C9/9)*12</f>
        <v>1072756</v>
      </c>
      <c r="F9" s="65"/>
      <c r="G9" s="65" t="n">
        <f aca="false">((+N20+N21)*1.2)*0.917</f>
        <v>0</v>
      </c>
      <c r="H9" s="65"/>
      <c r="I9" s="91" t="n">
        <f aca="false">+G9/$G$22</f>
        <v>0</v>
      </c>
      <c r="K9" s="88"/>
      <c r="L9" s="27"/>
      <c r="M9" s="27"/>
      <c r="N9" s="89"/>
      <c r="O9" s="65" t="n">
        <f aca="false">+G9/$G$28*$O$28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'[8]Executive Orig'!C11+[8]Trading!C11+[8]Origination!C11+'[8]Mid Market'!C11+[8]Services!C11+[8]Fundamentals!C11</f>
        <v>1096068.21</v>
      </c>
      <c r="E10" s="65" t="n">
        <f aca="false">(C10/9)*12</f>
        <v>1461424.28</v>
      </c>
      <c r="F10" s="65"/>
      <c r="G10" s="65" t="n">
        <f aca="false">((+G8*0.2+(N20+N21)*0.2)*1.2)*0.917</f>
        <v>72071.5871232</v>
      </c>
      <c r="H10" s="65"/>
      <c r="I10" s="91" t="n">
        <f aca="false">+G10/$G$22</f>
        <v>0.141172331485593</v>
      </c>
      <c r="K10" s="88" t="s">
        <v>83</v>
      </c>
      <c r="L10" s="80" t="n">
        <f aca="false">(E11+E12+E13+E14+E15+E16+E17+E18+E19+E20+E21)/E28</f>
        <v>47533.8552808989</v>
      </c>
      <c r="M10" s="27" t="n">
        <f aca="false">M27</f>
        <v>6</v>
      </c>
      <c r="N10" s="92" t="n">
        <f aca="false">L10*M10</f>
        <v>285203.131685393</v>
      </c>
      <c r="O10" s="65" t="n">
        <f aca="false">+G10/$G$28*$O$28</f>
        <v>12011.9311872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'[8]Executive Orig'!C12+[8]Trading!C12+[8]Origination!C12+'[8]Mid Market'!C12+[8]Services!C12+[8]Fundamentals!C12</f>
        <v>658117.68</v>
      </c>
      <c r="E11" s="67" t="n">
        <f aca="false">((C11/9)*12)*1.2</f>
        <v>1052988.288</v>
      </c>
      <c r="F11" s="65"/>
      <c r="G11" s="65" t="n">
        <v>11004</v>
      </c>
      <c r="H11" s="65"/>
      <c r="I11" s="91" t="n">
        <f aca="false">+G11/$G$22</f>
        <v>0.0215544071897842</v>
      </c>
      <c r="K11" s="88"/>
      <c r="L11" s="27"/>
      <c r="M11" s="27"/>
      <c r="N11" s="89"/>
      <c r="O11" s="65" t="n">
        <f aca="false">+G11/$G$28*$O$28</f>
        <v>1834</v>
      </c>
      <c r="P11" s="82"/>
      <c r="Q11" s="82"/>
      <c r="R11" s="82"/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'[8]Executive Orig'!C13+[8]Trading!C13+[8]Origination!C13+'[8]Mid Market'!C13+[8]Services!C13+[8]Fundamentals!C13</f>
        <v>719773.8</v>
      </c>
      <c r="E12" s="67" t="n">
        <f aca="false">((C12/9)*12)*1.2</f>
        <v>1151638.08</v>
      </c>
      <c r="F12" s="65"/>
      <c r="G12" s="65" t="n">
        <v>11004</v>
      </c>
      <c r="H12" s="65"/>
      <c r="I12" s="91" t="n">
        <f aca="false">+G12/$G$22</f>
        <v>0.0215544071897842</v>
      </c>
      <c r="K12" s="93" t="s">
        <v>129</v>
      </c>
      <c r="L12" s="94"/>
      <c r="M12" s="94"/>
      <c r="N12" s="95" t="n">
        <f aca="false">N8+N10</f>
        <v>642323.131685393</v>
      </c>
      <c r="O12" s="65" t="n">
        <f aca="false">+G12/$G$28*$O$28</f>
        <v>1834</v>
      </c>
      <c r="P12" s="82"/>
      <c r="Q12" s="82"/>
      <c r="R12" s="82"/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'[8]Executive Orig'!C14+[8]Trading!C14+[8]Origination!C14+'[8]Mid Market'!C14+[8]Services!C14+[8]Fundamentals!C14-C31</f>
        <v>0.239999999757856</v>
      </c>
      <c r="E13" s="67" t="n">
        <f aca="false">((C13/9)*12)*1.2</f>
        <v>0.38399999961257</v>
      </c>
      <c r="F13" s="65"/>
      <c r="G13" s="65" t="n">
        <v>44016</v>
      </c>
      <c r="H13" s="65"/>
      <c r="I13" s="91" t="n">
        <f aca="false">+G13/$G$22</f>
        <v>0.086217628759137</v>
      </c>
      <c r="O13" s="65" t="n">
        <f aca="false">+G13/$G$28*$O$28</f>
        <v>7336</v>
      </c>
      <c r="P13" s="82"/>
      <c r="Q13" s="82"/>
      <c r="R13" s="82"/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'[8]Executive Orig'!C15+[8]Trading!C15+[8]Origination!C15+'[8]Mid Market'!C15+[8]Services!C15+[8]Fundamentals!C15</f>
        <v>128890.14</v>
      </c>
      <c r="E14" s="67" t="n">
        <f aca="false">((C14/9)*12)*1.2</f>
        <v>206224.224</v>
      </c>
      <c r="F14" s="65"/>
      <c r="G14" s="65" t="n">
        <v>19014.912</v>
      </c>
      <c r="H14" s="65"/>
      <c r="I14" s="91" t="n">
        <f aca="false">+G14/$G$22</f>
        <v>0.0372460156239472</v>
      </c>
      <c r="O14" s="65" t="n">
        <f aca="false">+G14/$G$28*$O$28</f>
        <v>3169.152</v>
      </c>
      <c r="P14" s="82"/>
      <c r="Q14" s="82"/>
      <c r="R14" s="82"/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'[8]Executive Orig'!C16+[8]Trading!C16+[8]Origination!C16+'[8]Mid Market'!C16+[8]Services!C16+[8]Fundamentals!C16</f>
        <v>0</v>
      </c>
      <c r="E15" s="67" t="n">
        <f aca="false">((C15/9)*12)*1.2</f>
        <v>0</v>
      </c>
      <c r="F15" s="65"/>
      <c r="G15" s="65" t="n">
        <f aca="false">((+E15/$E$28*$M$10)*1.2)*0.917</f>
        <v>0</v>
      </c>
      <c r="H15" s="65"/>
      <c r="I15" s="91" t="n">
        <f aca="false">+G15/$G$22</f>
        <v>0</v>
      </c>
      <c r="K15" s="0" t="s">
        <v>193</v>
      </c>
      <c r="L15" s="50" t="n">
        <v>33600</v>
      </c>
      <c r="M15" s="0" t="n">
        <v>1</v>
      </c>
      <c r="N15" s="50" t="n">
        <f aca="false">L15*M15</f>
        <v>33600</v>
      </c>
      <c r="O15" s="65" t="n">
        <f aca="false">+G15/$G$28*$O$28</f>
        <v>0</v>
      </c>
      <c r="P15" s="82"/>
      <c r="Q15" s="82"/>
      <c r="R15" s="82"/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'[8]Executive Orig'!C17+[8]Trading!C17+[8]Origination!C17+'[8]Mid Market'!C17+[8]Services!C17+[8]Fundamentals!C17</f>
        <v>11300</v>
      </c>
      <c r="E16" s="67" t="n">
        <f aca="false">((C16/9)*12)*1.2</f>
        <v>18080</v>
      </c>
      <c r="F16" s="65"/>
      <c r="G16" s="65" t="n">
        <v>0</v>
      </c>
      <c r="H16" s="65"/>
      <c r="I16" s="91" t="n">
        <f aca="false">+G16/$G$22</f>
        <v>0</v>
      </c>
      <c r="K16" s="0" t="s">
        <v>139</v>
      </c>
      <c r="L16" s="50" t="n">
        <v>52800</v>
      </c>
      <c r="M16" s="0" t="n">
        <f aca="false">5</f>
        <v>5</v>
      </c>
      <c r="N16" s="50" t="n">
        <f aca="false">L16*M16</f>
        <v>264000</v>
      </c>
      <c r="O16" s="65" t="n">
        <f aca="false">+G16/$G$28*$O$28</f>
        <v>0</v>
      </c>
      <c r="P16" s="82"/>
      <c r="Q16" s="82"/>
      <c r="R16" s="82"/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'[8]Executive Orig'!C18+[8]Trading!C18+[8]Origination!C18+'[8]Mid Market'!C18+[8]Services!C18+[8]Fundamentals!C18</f>
        <v>327447.74</v>
      </c>
      <c r="E17" s="67" t="n">
        <f aca="false">((C17/9)*12)*1.2</f>
        <v>523916.384</v>
      </c>
      <c r="F17" s="65"/>
      <c r="G17" s="65" t="n">
        <f aca="false">((+(75*12*6))*1.2)*0.917</f>
        <v>5942.16</v>
      </c>
      <c r="H17" s="65"/>
      <c r="I17" s="91" t="n">
        <f aca="false">+G17/$G$22</f>
        <v>0.0116393798824835</v>
      </c>
      <c r="K17" s="0" t="s">
        <v>142</v>
      </c>
      <c r="L17" s="50" t="n">
        <v>54000</v>
      </c>
      <c r="M17" s="0" t="n">
        <v>0</v>
      </c>
      <c r="N17" s="50" t="n">
        <f aca="false">L17*M17</f>
        <v>0</v>
      </c>
      <c r="O17" s="65" t="n">
        <f aca="false">+G17/$G$28*$O$28</f>
        <v>990.36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'[8]Executive Orig'!C19+[8]Trading!C19+[8]Origination!C19+'[8]Mid Market'!C19+[8]Services!C19+[8]Fundamentals!C19</f>
        <v>155845.37</v>
      </c>
      <c r="E18" s="67" t="n">
        <f aca="false">((C18/9)*12)*1.2</f>
        <v>249352.592</v>
      </c>
      <c r="F18" s="65"/>
      <c r="G18" s="65" t="n">
        <v>5502</v>
      </c>
      <c r="H18" s="65"/>
      <c r="I18" s="91" t="n">
        <f aca="false">+G18/$G$22</f>
        <v>0.0107772035948921</v>
      </c>
      <c r="K18" s="0" t="s">
        <v>145</v>
      </c>
      <c r="L18" s="50" t="n">
        <v>63000</v>
      </c>
      <c r="M18" s="0" t="n">
        <v>0</v>
      </c>
      <c r="N18" s="50" t="n">
        <f aca="false">L18*M18</f>
        <v>0</v>
      </c>
      <c r="O18" s="65" t="n">
        <f aca="false">+G18/$G$28*$O$28</f>
        <v>917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'[8]Executive Orig'!C20+[8]Trading!C20+[8]Origination!C20+'[8]Mid Market'!C20+[8]Services!C20+[8]Fundamentals!C20</f>
        <v>116.15</v>
      </c>
      <c r="E19" s="67" t="n">
        <f aca="false">((C19/9)*12)*1.2</f>
        <v>185.84</v>
      </c>
      <c r="F19" s="65"/>
      <c r="G19" s="65" t="n">
        <v>0</v>
      </c>
      <c r="H19" s="65"/>
      <c r="I19" s="91" t="n">
        <f aca="false">+G19/$G$22</f>
        <v>0</v>
      </c>
      <c r="K19" s="0" t="s">
        <v>148</v>
      </c>
      <c r="L19" s="50" t="n">
        <v>78000</v>
      </c>
      <c r="M19" s="0" t="n">
        <v>0</v>
      </c>
      <c r="N19" s="50" t="n">
        <f aca="false">L19*M19</f>
        <v>0</v>
      </c>
      <c r="O19" s="65" t="n">
        <f aca="false">+G19/$G$28*$O$28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'[8]Executive Orig'!C21+[8]Trading!C21+[8]Origination!C21+'[8]Mid Market'!C21+[8]Services!C21+[8]Fundamentals!C21</f>
        <v>566869.93</v>
      </c>
      <c r="E20" s="67" t="n">
        <f aca="false">((C20/9)*12)*1.2</f>
        <v>906991.888</v>
      </c>
      <c r="F20" s="65"/>
      <c r="G20" s="65" t="n">
        <v>5502</v>
      </c>
      <c r="H20" s="65"/>
      <c r="I20" s="91" t="n">
        <f aca="false">+G20/$G$22</f>
        <v>0.0107772035948921</v>
      </c>
      <c r="K20" s="0" t="s">
        <v>151</v>
      </c>
      <c r="L20" s="50" t="n">
        <v>66000</v>
      </c>
      <c r="M20" s="0" t="n">
        <v>0</v>
      </c>
      <c r="N20" s="50" t="n">
        <f aca="false">L20*M20</f>
        <v>0</v>
      </c>
      <c r="O20" s="65" t="n">
        <f aca="false">+G20/$G$28*$O$28</f>
        <v>917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'[8]Executive Orig'!C22+[8]Trading!C22+[8]Origination!C22+'[8]Mid Market'!C22+[8]Services!C22+[8]Fundamentals!C22</f>
        <v>75709.65</v>
      </c>
      <c r="E21" s="67" t="n">
        <f aca="false">((C21/9)*12)*1.2</f>
        <v>121135.44</v>
      </c>
      <c r="F21" s="65"/>
      <c r="G21" s="65" t="n">
        <f aca="false">((+E21/$E$28*$M$10)*1.2)*0.917</f>
        <v>8986.34414669663</v>
      </c>
      <c r="H21" s="65"/>
      <c r="I21" s="91" t="n">
        <f aca="false">+G21/$G$22</f>
        <v>0.0176022647115079</v>
      </c>
      <c r="K21" s="0" t="s">
        <v>154</v>
      </c>
      <c r="L21" s="50" t="n">
        <v>97200</v>
      </c>
      <c r="M21" s="0" t="n">
        <v>0</v>
      </c>
      <c r="N21" s="50" t="n">
        <f aca="false">L21*M21</f>
        <v>0</v>
      </c>
      <c r="O21" s="65" t="n">
        <f aca="false">+G21/$G$28*$O$28</f>
        <v>1497.72402444944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9334664.9</v>
      </c>
      <c r="E22" s="74" t="n">
        <f aca="false">SUM(E8:E21)</f>
        <v>13151305.3866667</v>
      </c>
      <c r="F22" s="76"/>
      <c r="G22" s="74" t="n">
        <f aca="false">SUM(G8:G21)</f>
        <v>510522.043269897</v>
      </c>
      <c r="H22" s="76"/>
      <c r="I22" s="97" t="n">
        <f aca="false">SUM(I8:I21)</f>
        <v>1</v>
      </c>
      <c r="K22" s="0" t="s">
        <v>157</v>
      </c>
      <c r="L22" s="50" t="n">
        <v>120000</v>
      </c>
      <c r="M22" s="0" t="n">
        <v>0</v>
      </c>
      <c r="N22" s="50" t="n">
        <f aca="false">L22*M22</f>
        <v>0</v>
      </c>
      <c r="O22" s="74" t="n">
        <f aca="false">SUM(O8:O21)</f>
        <v>85087.0072116494</v>
      </c>
    </row>
    <row r="23" customFormat="false" ht="12.75" hidden="false" customHeight="false" outlineLevel="0" collapsed="false">
      <c r="K23" s="0" t="s">
        <v>158</v>
      </c>
      <c r="L23" s="50" t="n">
        <v>156000</v>
      </c>
      <c r="M23" s="0" t="n">
        <v>0</v>
      </c>
      <c r="N23" s="50" t="n">
        <f aca="false">L23*M23</f>
        <v>0</v>
      </c>
    </row>
    <row r="24" customFormat="false" ht="12.75" hidden="false" customHeight="false" outlineLevel="0" collapsed="false">
      <c r="B24" s="73" t="s">
        <v>7</v>
      </c>
      <c r="C24" s="65"/>
      <c r="E24" s="77" t="n">
        <f aca="false">'[8]Executive Orig'!E25+[8]Trading!E25+[8]Origination!E25+'[8]Mid Market'!E25+[8]Services!E25+[8]Fundamentals!E25</f>
        <v>74</v>
      </c>
      <c r="F24" s="65"/>
      <c r="G24" s="77" t="n">
        <f aca="false">SUM(M15:M19,M22:M26)</f>
        <v>6</v>
      </c>
      <c r="H24" s="65"/>
      <c r="K24" s="0" t="s">
        <v>159</v>
      </c>
      <c r="L24" s="50" t="n">
        <v>180000</v>
      </c>
      <c r="M24" s="0" t="n">
        <v>0</v>
      </c>
      <c r="N24" s="50" t="n">
        <f aca="false">L24*M24</f>
        <v>0</v>
      </c>
      <c r="O24" s="77" t="n">
        <f aca="false">SUM(U15:U19,U22:U26)</f>
        <v>0</v>
      </c>
    </row>
    <row r="25" customFormat="false" ht="12.75" hidden="false" customHeight="false" outlineLevel="0" collapsed="false">
      <c r="C25" s="65"/>
      <c r="E25" s="65"/>
      <c r="F25" s="65"/>
      <c r="G25" s="65"/>
      <c r="H25" s="65"/>
      <c r="K25" s="0" t="s">
        <v>160</v>
      </c>
      <c r="L25" s="50" t="n">
        <v>216000</v>
      </c>
      <c r="M25" s="0" t="n">
        <v>0</v>
      </c>
      <c r="N25" s="50" t="n">
        <f aca="false">L25*M25</f>
        <v>0</v>
      </c>
      <c r="O25" s="65"/>
    </row>
    <row r="26" customFormat="false" ht="12.75" hidden="false" customHeight="false" outlineLevel="0" collapsed="false">
      <c r="B26" s="73" t="s">
        <v>194</v>
      </c>
      <c r="C26" s="65"/>
      <c r="E26" s="77" t="n">
        <f aca="false">'[8]Executive Orig'!E27+[8]Trading!E27+[8]Origination!E27+'[8]Mid Market'!E27+[8]Services!E27+[8]Fundamentals!E27</f>
        <v>15</v>
      </c>
      <c r="F26" s="65"/>
      <c r="G26" s="77" t="n">
        <f aca="false">+M20+M21</f>
        <v>0</v>
      </c>
      <c r="H26" s="65"/>
      <c r="K26" s="0" t="s">
        <v>162</v>
      </c>
      <c r="L26" s="50" t="n">
        <v>240000</v>
      </c>
      <c r="M26" s="0" t="n">
        <v>0</v>
      </c>
      <c r="N26" s="50" t="n">
        <f aca="false">L26*M26</f>
        <v>0</v>
      </c>
      <c r="O26" s="77" t="n">
        <f aca="false">+U20+U21</f>
        <v>0</v>
      </c>
    </row>
    <row r="27" customFormat="false" ht="12.75" hidden="false" customHeight="false" outlineLevel="0" collapsed="false">
      <c r="M27" s="0" t="n">
        <f aca="false">SUM(M15:M26)</f>
        <v>6</v>
      </c>
      <c r="N27" s="50" t="n">
        <f aca="false">SUM(N15:N26)*1.2</f>
        <v>357120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89</v>
      </c>
      <c r="F28" s="65"/>
      <c r="G28" s="77" t="n">
        <f aca="false">+G26+G24</f>
        <v>6</v>
      </c>
      <c r="H28" s="65"/>
      <c r="I28" s="50"/>
      <c r="O28" s="77" t="n">
        <v>1</v>
      </c>
    </row>
    <row r="30" customFormat="false" ht="12.75" hidden="false" customHeight="false" outlineLevel="0" collapsed="false">
      <c r="J30" s="17" t="s">
        <v>164</v>
      </c>
      <c r="K30" s="50"/>
      <c r="L30" s="50"/>
      <c r="M30" s="50"/>
    </row>
    <row r="31" customFormat="false" ht="12.75" hidden="true" customHeight="false" outlineLevel="0" collapsed="false">
      <c r="B31" s="64" t="s">
        <v>131</v>
      </c>
      <c r="C31" s="65" t="n">
        <v>677322</v>
      </c>
      <c r="K31" s="50"/>
      <c r="L31" s="50"/>
      <c r="M31" s="50"/>
    </row>
    <row r="32" customFormat="false" ht="12.75" hidden="false" customHeight="false" outlineLevel="0" collapsed="false">
      <c r="J32" s="79" t="s">
        <v>165</v>
      </c>
      <c r="K32" s="80" t="s">
        <v>166</v>
      </c>
      <c r="L32" s="80" t="s">
        <v>167</v>
      </c>
      <c r="M32" s="80" t="s">
        <v>110</v>
      </c>
      <c r="N32" s="80" t="s">
        <v>168</v>
      </c>
    </row>
    <row r="33" customFormat="false" ht="12.75" hidden="false" customHeight="false" outlineLevel="0" collapsed="false">
      <c r="J33" s="81" t="n">
        <f aca="false">SUM(E11:E21)</f>
        <v>4230513.12</v>
      </c>
      <c r="K33" s="80" t="n">
        <f aca="false">+E28</f>
        <v>89</v>
      </c>
      <c r="L33" s="80" t="n">
        <f aca="false">+J33/K33</f>
        <v>47533.8552808989</v>
      </c>
      <c r="M33" s="80" t="n">
        <f aca="false">+M10</f>
        <v>6</v>
      </c>
      <c r="N33" s="80" t="n">
        <f aca="false">+L33*M33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51" t="str">
        <f aca="false">'[13]Team Report'!B1</f>
        <v>Enron North America</v>
      </c>
      <c r="C1" s="51"/>
      <c r="D1" s="51"/>
      <c r="E1" s="51"/>
      <c r="F1" s="51"/>
      <c r="G1" s="51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49</v>
      </c>
      <c r="C2" s="51"/>
      <c r="D2" s="51"/>
      <c r="E2" s="51"/>
      <c r="F2" s="51"/>
      <c r="G2" s="51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85"/>
      <c r="J4" s="86"/>
      <c r="K4" s="86"/>
      <c r="L4" s="87"/>
    </row>
    <row r="5" customFormat="false" ht="12.75" hidden="false" customHeight="false" outlineLevel="0" collapsed="false">
      <c r="I5" s="88"/>
      <c r="J5" s="27" t="s">
        <v>109</v>
      </c>
      <c r="K5" s="27" t="s">
        <v>110</v>
      </c>
      <c r="L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114</v>
      </c>
      <c r="I6" s="88"/>
      <c r="J6" s="27"/>
      <c r="K6" s="27"/>
      <c r="L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I7" s="88"/>
      <c r="J7" s="27"/>
      <c r="K7" s="27"/>
      <c r="L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'[13]Team Report'!BA25</f>
        <v>10228335.79</v>
      </c>
      <c r="E8" s="65" t="n">
        <f aca="false">(C8/9)*12</f>
        <v>13637781.0533333</v>
      </c>
      <c r="G8" s="65" t="n">
        <f aca="false">((L27+46200)*1.2)*0.917</f>
        <v>1865178</v>
      </c>
      <c r="I8" s="88" t="s">
        <v>120</v>
      </c>
      <c r="J8" s="50" t="n">
        <v>0</v>
      </c>
      <c r="K8" s="27"/>
      <c r="L8" s="92" t="n">
        <f aca="false">L27*1.2</f>
        <v>1978560</v>
      </c>
      <c r="O8" s="65" t="n">
        <f aca="false">+G8/$G$28*$O$28</f>
        <v>186517.8</v>
      </c>
    </row>
    <row r="9" customFormat="false" ht="12.75" hidden="false" customHeight="false" outlineLevel="0" collapsed="false">
      <c r="A9" s="63"/>
      <c r="B9" s="64" t="s">
        <v>234</v>
      </c>
      <c r="C9" s="65" t="n">
        <v>0</v>
      </c>
      <c r="E9" s="65" t="n">
        <f aca="false">(C9/9)*12</f>
        <v>0</v>
      </c>
      <c r="G9" s="65" t="n">
        <v>0</v>
      </c>
      <c r="I9" s="88"/>
      <c r="J9" s="27"/>
      <c r="K9" s="27"/>
      <c r="L9" s="89"/>
      <c r="O9" s="65" t="n">
        <f aca="false">+G9/$G$28*$O$28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'[13]Team Report'!BA26</f>
        <v>1877442.13</v>
      </c>
      <c r="E10" s="65" t="n">
        <f aca="false">(C10/9)*12</f>
        <v>2503256.17333333</v>
      </c>
      <c r="G10" s="65" t="n">
        <f aca="false">((L31-L27+9240)*1.2)*0.917</f>
        <v>373035.6</v>
      </c>
      <c r="I10" s="88" t="s">
        <v>83</v>
      </c>
      <c r="J10" s="80" t="n">
        <f aca="false">(E11+E12+E13+E14+E15+E16+E17+E18+E19+E20+E21)/E28</f>
        <v>22231.7342942943</v>
      </c>
      <c r="K10" s="27" t="n">
        <f aca="false">K27</f>
        <v>10</v>
      </c>
      <c r="L10" s="92" t="n">
        <f aca="false">J10*K10</f>
        <v>222317.342942943</v>
      </c>
      <c r="O10" s="65" t="n">
        <f aca="false">+G10/$G$28*$O$28</f>
        <v>37303.56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'[13]Team Report'!BA27</f>
        <v>405632.98</v>
      </c>
      <c r="E11" s="65" t="n">
        <f aca="false">(C11/9)*12</f>
        <v>540843.973333333</v>
      </c>
      <c r="G11" s="65" t="n">
        <f aca="false">(((E11/$E$28)*$K$10+51275)*1.2)*0.917</f>
        <v>110039.650383423</v>
      </c>
      <c r="I11" s="88"/>
      <c r="J11" s="27"/>
      <c r="K11" s="27"/>
      <c r="L11" s="89"/>
      <c r="O11" s="65" t="n">
        <f aca="false">+G11/$G$28*$O$28</f>
        <v>11003.9650383423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'[13]Team Report'!BA28</f>
        <v>648740.17</v>
      </c>
      <c r="E12" s="65" t="n">
        <f aca="false">(C12/9)*12</f>
        <v>864986.893333333</v>
      </c>
      <c r="G12" s="65" t="n">
        <f aca="false">(((E12/$E$28)*$K$10+522073)*1.2)*0.917</f>
        <v>660239.721760721</v>
      </c>
      <c r="I12" s="93" t="s">
        <v>129</v>
      </c>
      <c r="J12" s="94"/>
      <c r="K12" s="94"/>
      <c r="L12" s="95" t="n">
        <f aca="false">L8+L10</f>
        <v>2200877.34294294</v>
      </c>
      <c r="N12" s="0" t="n">
        <v>1893527</v>
      </c>
      <c r="O12" s="65" t="n">
        <f aca="false">+G12/$G$28*$O$28</f>
        <v>66023.9721760721</v>
      </c>
      <c r="P12" s="71" t="n">
        <f aca="false">N12-L12</f>
        <v>-307350.342942943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(C13/9)*12</f>
        <v>0</v>
      </c>
      <c r="G13" s="65" t="n">
        <v>3851400</v>
      </c>
      <c r="J13" s="0"/>
      <c r="K13" s="0"/>
      <c r="L13" s="0"/>
      <c r="O13" s="65" t="n">
        <f aca="false">+G13/$G$28*$O$28</f>
        <v>385140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'[13]Team Report'!BA33</f>
        <v>76876.32</v>
      </c>
      <c r="E14" s="65" t="n">
        <f aca="false">(C14/9)*12-25000</f>
        <v>77501.76</v>
      </c>
      <c r="G14" s="65" t="n">
        <f aca="false">(((E14/$E$28)*$K$10)*1.2)*0.917</f>
        <v>7683.14745081081</v>
      </c>
      <c r="J14" s="0"/>
      <c r="K14" s="0"/>
      <c r="L14" s="0"/>
      <c r="O14" s="65" t="n">
        <f aca="false">+G14/$G$28*$O$28</f>
        <v>768.314745081081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'[13]Team Report'!BA34</f>
        <v>0</v>
      </c>
      <c r="E15" s="65" t="n">
        <f aca="false">(C15/9)*12</f>
        <v>0</v>
      </c>
      <c r="G15" s="65" t="n">
        <f aca="false">(((E15/$E$28)*$K$10)*1.2)*0.917</f>
        <v>0</v>
      </c>
      <c r="I15" s="0" t="s">
        <v>193</v>
      </c>
      <c r="J15" s="50" t="n">
        <v>28000</v>
      </c>
      <c r="K15" s="0" t="n">
        <v>0</v>
      </c>
      <c r="L15" s="50" t="n">
        <f aca="false">J15*K15</f>
        <v>0</v>
      </c>
      <c r="O15" s="65" t="n">
        <f aca="false">+G15/$G$28*$O$28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'[13]Team Report'!BA35</f>
        <v>0</v>
      </c>
      <c r="E16" s="65" t="n">
        <f aca="false">(C16/9)*12</f>
        <v>0</v>
      </c>
      <c r="G16" s="65" t="n">
        <f aca="false">(((E16/$E$28)*$K$10)*1.2)*0.917</f>
        <v>0</v>
      </c>
      <c r="I16" s="0" t="s">
        <v>139</v>
      </c>
      <c r="J16" s="50" t="n">
        <v>36000</v>
      </c>
      <c r="K16" s="0" t="n">
        <v>0</v>
      </c>
      <c r="L16" s="50" t="n">
        <f aca="false">J16*K16</f>
        <v>0</v>
      </c>
      <c r="O16" s="65" t="n">
        <f aca="false">+G16/$G$28*$O$28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'[13]Team Report'!BA36</f>
        <v>5744.1</v>
      </c>
      <c r="E17" s="65" t="n">
        <f aca="false">(C17/9)*12</f>
        <v>7658.8</v>
      </c>
      <c r="G17" s="65" t="n">
        <f aca="false">(((E17/$E$28)*$K$10+49310)*1.2)*0.917</f>
        <v>55019.980172973</v>
      </c>
      <c r="I17" s="0" t="s">
        <v>248</v>
      </c>
      <c r="J17" s="50" t="n">
        <v>48000</v>
      </c>
      <c r="K17" s="0" t="n">
        <v>0</v>
      </c>
      <c r="L17" s="50" t="n">
        <f aca="false">J17*K17</f>
        <v>0</v>
      </c>
      <c r="O17" s="65" t="n">
        <f aca="false">+G17/$G$28*$O$28</f>
        <v>5501.9980172973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'[13]Team Report'!BA37</f>
        <v>67058.6</v>
      </c>
      <c r="E18" s="65" t="n">
        <f aca="false">(C18/9)*12-25000</f>
        <v>64411.4666666666</v>
      </c>
      <c r="G18" s="65" t="n">
        <f aca="false">(((E18/$E$28)*$K$10)*1.2)*0.917</f>
        <v>6385.43945225225</v>
      </c>
      <c r="I18" s="0" t="s">
        <v>145</v>
      </c>
      <c r="J18" s="50" t="n">
        <v>52500</v>
      </c>
      <c r="K18" s="0" t="n">
        <v>0</v>
      </c>
      <c r="L18" s="50" t="n">
        <f aca="false">J18*K18</f>
        <v>0</v>
      </c>
      <c r="O18" s="65" t="n">
        <f aca="false">+G18/$G$28*$O$28</f>
        <v>638.543945225225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'[13]Team Report'!BA38</f>
        <v>0</v>
      </c>
      <c r="E19" s="65" t="n">
        <f aca="false">(C19/9)*12</f>
        <v>0</v>
      </c>
      <c r="G19" s="65" t="n">
        <f aca="false">(((E19/$E$28)*$K$10)*1.2)*0.917</f>
        <v>0</v>
      </c>
      <c r="I19" s="0" t="s">
        <v>148</v>
      </c>
      <c r="J19" s="50" t="n">
        <v>65000</v>
      </c>
      <c r="K19" s="0" t="n">
        <v>0</v>
      </c>
      <c r="L19" s="50" t="n">
        <f aca="false">J19*K19</f>
        <v>0</v>
      </c>
      <c r="O19" s="65" t="n">
        <f aca="false">+G19/$G$28*$O$28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'[13]Team Report'!BA42</f>
        <v>842429.76</v>
      </c>
      <c r="E20" s="65" t="n">
        <f aca="false">(C20/9)*12-200000-19525</f>
        <v>903714.68</v>
      </c>
      <c r="G20" s="65" t="n">
        <f aca="false">(((E20/$E$28)*$K$10)*1.2)*0.917</f>
        <v>89589.8769254054</v>
      </c>
      <c r="I20" s="0" t="s">
        <v>151</v>
      </c>
      <c r="J20" s="50" t="n">
        <v>55000</v>
      </c>
      <c r="K20" s="0" t="n">
        <v>0</v>
      </c>
      <c r="L20" s="50" t="n">
        <f aca="false">J20*K20</f>
        <v>0</v>
      </c>
      <c r="O20" s="65" t="n">
        <f aca="false">+G20/$G$28*$O$28</f>
        <v>8958.98769254054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'[13]Team Report'!BA44</f>
        <v>6453.7</v>
      </c>
      <c r="E21" s="65" t="n">
        <f aca="false">(C21/9)*12</f>
        <v>8604.93333333333</v>
      </c>
      <c r="G21" s="65" t="n">
        <f aca="false">(((E21/$E$28)*$K$10)*1.2)*0.917</f>
        <v>853.051228828829</v>
      </c>
      <c r="I21" s="0" t="s">
        <v>154</v>
      </c>
      <c r="J21" s="50" t="n">
        <v>81000</v>
      </c>
      <c r="K21" s="0" t="n">
        <v>0</v>
      </c>
      <c r="L21" s="50" t="n">
        <f aca="false">J21*K21</f>
        <v>0</v>
      </c>
      <c r="O21" s="65" t="n">
        <f aca="false">+G21/$G$28*$O$28</f>
        <v>85.3051228828829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14158713.55</v>
      </c>
      <c r="E22" s="74" t="n">
        <f aca="false">SUM(E8:E21)</f>
        <v>18608759.7333333</v>
      </c>
      <c r="G22" s="74" t="n">
        <f aca="false">SUM(G8:G21)</f>
        <v>7019424.46737441</v>
      </c>
      <c r="I22" s="0" t="s">
        <v>157</v>
      </c>
      <c r="J22" s="50" t="n">
        <f aca="false">80000</f>
        <v>80000</v>
      </c>
      <c r="K22" s="0" t="n">
        <v>1</v>
      </c>
      <c r="L22" s="50" t="n">
        <f aca="false">J22*K22</f>
        <v>80000</v>
      </c>
      <c r="O22" s="74" t="n">
        <f aca="false">SUM(O8:O21)</f>
        <v>701942.446737441</v>
      </c>
    </row>
    <row r="23" customFormat="false" ht="12.75" hidden="false" customHeight="false" outlineLevel="0" collapsed="false">
      <c r="I23" s="0" t="s">
        <v>158</v>
      </c>
      <c r="J23" s="50" t="n">
        <f aca="false">115000*1.2</f>
        <v>138000</v>
      </c>
      <c r="K23" s="0" t="n">
        <v>3</v>
      </c>
      <c r="L23" s="50" t="n">
        <f aca="false">J23*K23</f>
        <v>414000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111</v>
      </c>
      <c r="G24" s="109" t="n">
        <f aca="false">+K27</f>
        <v>10</v>
      </c>
      <c r="I24" s="0" t="s">
        <v>159</v>
      </c>
      <c r="J24" s="50" t="n">
        <f aca="false">140000</f>
        <v>140000</v>
      </c>
      <c r="K24" s="0" t="n">
        <v>4</v>
      </c>
      <c r="L24" s="50" t="n">
        <f aca="false">J24*K24</f>
        <v>560000</v>
      </c>
      <c r="O24" s="77" t="n">
        <f aca="false">SUM(U15:U19,U22:U26)</f>
        <v>0</v>
      </c>
    </row>
    <row r="25" customFormat="false" ht="12.75" hidden="false" customHeight="false" outlineLevel="0" collapsed="false">
      <c r="I25" s="0" t="s">
        <v>160</v>
      </c>
      <c r="J25" s="50" t="n">
        <f aca="false">160000</f>
        <v>160000</v>
      </c>
      <c r="K25" s="0" t="n">
        <v>2</v>
      </c>
      <c r="L25" s="50" t="n">
        <f aca="false">J25*K25</f>
        <v>320000</v>
      </c>
      <c r="O25" s="65"/>
    </row>
    <row r="26" customFormat="false" ht="12.75" hidden="false" customHeight="false" outlineLevel="0" collapsed="false">
      <c r="B26" s="73" t="s">
        <v>161</v>
      </c>
      <c r="C26" s="109"/>
      <c r="E26" s="109"/>
      <c r="G26" s="109"/>
      <c r="I26" s="0" t="s">
        <v>162</v>
      </c>
      <c r="J26" s="50" t="n">
        <f aca="false">288000</f>
        <v>288000</v>
      </c>
      <c r="K26" s="0" t="n">
        <v>0</v>
      </c>
      <c r="L26" s="50" t="n">
        <f aca="false">J26*K26</f>
        <v>0</v>
      </c>
      <c r="O26" s="77" t="n">
        <f aca="false">+U20+U21</f>
        <v>0</v>
      </c>
    </row>
    <row r="27" customFormat="false" ht="12.75" hidden="false" customHeight="false" outlineLevel="0" collapsed="false">
      <c r="J27" s="0"/>
      <c r="K27" s="0" t="n">
        <f aca="false">SUM(K15:K26)</f>
        <v>10</v>
      </c>
      <c r="L27" s="50" t="n">
        <f aca="false">SUM(L15:L26)*1.2</f>
        <v>1648800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111</v>
      </c>
      <c r="G28" s="109" t="n">
        <f aca="false">SUM(G24:G27)</f>
        <v>10</v>
      </c>
      <c r="O28" s="77" t="n">
        <v>1</v>
      </c>
    </row>
    <row r="29" customFormat="false" ht="12.75" hidden="false" customHeight="false" outlineLevel="0" collapsed="false">
      <c r="B29" s="73"/>
      <c r="I29" s="0" t="s">
        <v>249</v>
      </c>
      <c r="L29" s="78" t="n">
        <v>0.2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'[13]Team Report'!BA29</f>
        <v>-24140467.68</v>
      </c>
      <c r="E30" s="65" t="n">
        <f aca="false">(C30/9)*12</f>
        <v>-32187290.24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'[13]Team Report'!BA30</f>
        <v>0</v>
      </c>
      <c r="E31" s="65" t="n">
        <f aca="false">(C31/9)*12</f>
        <v>0</v>
      </c>
      <c r="L31" s="50" t="n">
        <f aca="false">L27*1.2</f>
        <v>1978560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'[13]Team Report'!BA31</f>
        <v>0</v>
      </c>
      <c r="E32" s="65" t="n">
        <f aca="false">(C32/9)*12</f>
        <v>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'[13]Team Report'!BA39</f>
        <v>0</v>
      </c>
      <c r="E33" s="65" t="n">
        <f aca="false">(C33/9)*12</f>
        <v>0</v>
      </c>
      <c r="I33" s="17" t="s">
        <v>164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'[13]Team Report'!BA40</f>
        <v>164920.93</v>
      </c>
      <c r="E34" s="65" t="n">
        <f aca="false">(C34/9)*12</f>
        <v>219894.573333333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'[13]Team Report'!BA41</f>
        <v>945381.27</v>
      </c>
      <c r="E35" s="65" t="n">
        <f aca="false">(C35/9)*12</f>
        <v>1260508.36</v>
      </c>
      <c r="I35" s="79" t="s">
        <v>250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'[13]Team Report'!BA43</f>
        <v>-5121278.52</v>
      </c>
      <c r="E36" s="65" t="n">
        <f aca="false">(C36/9)*12</f>
        <v>-6828371.36</v>
      </c>
      <c r="L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'[13]Team Report'!BA45</f>
        <v>0</v>
      </c>
      <c r="E37" s="65" t="n">
        <f aca="false">(C37/9)*12</f>
        <v>0</v>
      </c>
      <c r="L37" s="0"/>
    </row>
    <row r="38" customFormat="false" ht="12.75" hidden="true" customHeight="false" outlineLevel="0" collapsed="false">
      <c r="A38" s="63" t="s">
        <v>130</v>
      </c>
      <c r="B38" s="64" t="s">
        <v>131</v>
      </c>
      <c r="C38" s="65" t="n">
        <v>24143776.43</v>
      </c>
      <c r="E38" s="65" t="n">
        <v>32191701.9066667</v>
      </c>
      <c r="J38" s="80"/>
      <c r="K38" s="80"/>
      <c r="L38" s="0"/>
      <c r="M38" s="80"/>
    </row>
    <row r="39" customFormat="false" ht="12.75" hidden="true" customHeight="false" outlineLevel="0" collapsed="false">
      <c r="H39" s="81"/>
      <c r="I39" s="111"/>
      <c r="J39" s="80"/>
      <c r="K39" s="80"/>
      <c r="L39" s="80"/>
      <c r="M39" s="50"/>
    </row>
    <row r="40" customFormat="false" ht="12.75" hidden="true" customHeight="false" outlineLevel="0" collapsed="false">
      <c r="J40" s="0"/>
      <c r="L40" s="0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-13992730.45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251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E8/$E$22</f>
        <v>0.528778555954281</v>
      </c>
      <c r="H8" s="65" t="n">
        <f aca="false">((+'[14]Competitive Ana'!F8+'[14]Gas - Fund'!H8+'[14]East - Fund'!F8+'[14]West - Fund'!G8)*1.2)*0.917</f>
        <v>1993242.552</v>
      </c>
      <c r="I8" s="59" t="s">
        <v>120</v>
      </c>
      <c r="J8" s="50" t="n">
        <v>0</v>
      </c>
      <c r="L8" s="60" t="n">
        <f aca="false">L29</f>
        <v>2208096</v>
      </c>
      <c r="Q8" s="65" t="n">
        <f aca="false">+H8/$H$28*$Q$28</f>
        <v>60401.2894545455</v>
      </c>
    </row>
    <row r="9" customFormat="false" ht="12.75" hidden="false" customHeight="false" outlineLevel="0" collapsed="false">
      <c r="A9" s="63"/>
      <c r="B9" s="64" t="s">
        <v>122</v>
      </c>
      <c r="C9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9" s="65"/>
      <c r="E9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9" s="66" t="n">
        <f aca="false">E9/$E$22</f>
        <v>0.00377976191391553</v>
      </c>
      <c r="H9" s="65" t="n">
        <f aca="false">((+'[14]Competitive Ana'!F10+'[14]Gas - Fund'!H10+'[14]East - Fund'!F10+'[14]West - Fund'!G10)*1.2)*0.917</f>
        <v>1396957.8</v>
      </c>
      <c r="I9" s="59"/>
      <c r="L9" s="60"/>
      <c r="Q9" s="65" t="n">
        <f aca="false">+H9/$H$28*$Q$28</f>
        <v>42332.0545454546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0" s="65" t="n">
        <f aca="false">((C10/9)*12)</f>
        <v>2469743.93333333</v>
      </c>
      <c r="G10" s="66" t="n">
        <f aca="false">E10/$E$22</f>
        <v>0.113260504681299</v>
      </c>
      <c r="H10" s="65" t="n">
        <f aca="false">((+'[14]Competitive Ana'!F11+'[14]Gas - Fund'!H11+'[14]East - Fund'!F11+'[14]West - Fund'!G11)*1.2)*0.917</f>
        <v>678040.0704</v>
      </c>
      <c r="I10" s="59" t="s">
        <v>83</v>
      </c>
      <c r="J10" s="50" t="n">
        <f aca="false">(E11+E12+E13+E14+E15+E16+E17+E18+E19+E20+E21)/E28</f>
        <v>48270.18125</v>
      </c>
      <c r="K10" s="50" t="n">
        <f aca="false">K27</f>
        <v>17</v>
      </c>
      <c r="L10" s="60" t="n">
        <f aca="false">J10*K10</f>
        <v>820593.08125</v>
      </c>
      <c r="Q10" s="65" t="n">
        <f aca="false">+H10/$H$28*$Q$28</f>
        <v>20546.6688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1" s="67" t="n">
        <f aca="false">((C11/9)*12)-500000</f>
        <v>985995.8</v>
      </c>
      <c r="G11" s="66" t="n">
        <f aca="false">E11/$E$22</f>
        <v>0.0452169880506265</v>
      </c>
      <c r="H11" s="65" t="n">
        <f aca="false">((+'[14]Competitive Ana'!F12+'[14]Gas - Fund'!H12+'[14]East - Fund'!F12+'[14]West - Fund'!G12)*1.2)*0.917</f>
        <v>197558.640483362</v>
      </c>
      <c r="I11" s="59"/>
      <c r="L11" s="60"/>
      <c r="Q11" s="65" t="n">
        <f aca="false">+H11/$H$28*$Q$28</f>
        <v>5986.62546919278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2" s="67" t="n">
        <f aca="false">((C12/9)*12)-500000-500000</f>
        <v>877593.106666667</v>
      </c>
      <c r="G12" s="66" t="n">
        <f aca="false">E12/$E$22</f>
        <v>0.0402457262165406</v>
      </c>
      <c r="H12" s="65" t="n">
        <f aca="false">((+'[14]Competitive Ana'!F13+'[14]Gas - Fund'!H13+'[14]East - Fund'!F13+'[14]West - Fund'!G13)*1.2)*0.917</f>
        <v>264727.408280796</v>
      </c>
      <c r="I12" s="68" t="s">
        <v>129</v>
      </c>
      <c r="J12" s="69"/>
      <c r="K12" s="69"/>
      <c r="L12" s="70" t="n">
        <f aca="false">L8+L10</f>
        <v>3028689.08125</v>
      </c>
      <c r="N12" s="50" t="n">
        <v>24109311.029375</v>
      </c>
      <c r="P12" s="71" t="n">
        <f aca="false">N12-L12</f>
        <v>21080621.948125</v>
      </c>
      <c r="Q12" s="65" t="n">
        <f aca="false">+H12/$H$28*$Q$28</f>
        <v>8022.04267517563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Origination'!C14+[4]Fundamentals!C14-C31</f>
        <v>0.240000000019791</v>
      </c>
      <c r="E13" s="67" t="n">
        <f aca="false">(C13/9)*12</f>
        <v>0.320000000026387</v>
      </c>
      <c r="G13" s="66" t="n">
        <f aca="false">E13/$E$22</f>
        <v>1.46749470711677E-008</v>
      </c>
      <c r="H13" s="65" t="n">
        <f aca="false">((+'[14]Competitive Ana'!F14+'[14]Gas - Fund'!H14+'[14]East - Fund'!F14+'[14]West - Fund'!G14)*1.2)*0.917</f>
        <v>2239974.2503752</v>
      </c>
      <c r="Q13" s="65" t="n">
        <f aca="false">+H13/$H$28*$Q$28</f>
        <v>67878.0075871273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4" s="67" t="n">
        <f aca="false">((C14/9)*12)-75000</f>
        <v>139417.333333333</v>
      </c>
      <c r="G14" s="66" t="n">
        <f aca="false">E14/$E$22</f>
        <v>0.00639356871031657</v>
      </c>
      <c r="H14" s="65" t="n">
        <f aca="false">((+'[14]Competitive Ana'!F15+'[14]Gas - Fund'!H15+'[14]East - Fund'!F15+'[14]West - Fund'!G15)*1.2)*0.917</f>
        <v>50943.7948071447</v>
      </c>
      <c r="Q14" s="65" t="n">
        <f aca="false">+H14/$H$28*$Q$28</f>
        <v>1543.75135779226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5" s="67" t="n">
        <f aca="false">(C15/9)*12</f>
        <v>0</v>
      </c>
      <c r="G15" s="66" t="n">
        <f aca="false">E15/$E$22</f>
        <v>0</v>
      </c>
      <c r="H15" s="65" t="n">
        <f aca="false">((+'[14]Competitive Ana'!F16+'[14]Gas - Fund'!H16+'[14]East - Fund'!F16+'[14]West - Fund'!G16)*1.2)*0.917</f>
        <v>0</v>
      </c>
      <c r="I15" s="50" t="s">
        <v>136</v>
      </c>
      <c r="J15" s="50" t="n">
        <v>33000</v>
      </c>
      <c r="K15" s="50" t="n">
        <v>1</v>
      </c>
      <c r="L15" s="50" t="n">
        <f aca="false">J15*K15</f>
        <v>33000</v>
      </c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6" s="67" t="n">
        <f aca="false">((C16/9)*12)</f>
        <v>7866.66666666667</v>
      </c>
      <c r="G16" s="66" t="n">
        <f aca="false">E16/$E$22</f>
        <v>0.000360759115469791</v>
      </c>
      <c r="H16" s="65" t="n">
        <f aca="false">((+'[14]Competitive Ana'!F17+'[14]Gas - Fund'!H17+'[14]East - Fund'!F17+'[14]West - Fund'!G17)*1.2)*0.917</f>
        <v>1220.70259574468</v>
      </c>
      <c r="I16" s="50" t="s">
        <v>139</v>
      </c>
      <c r="J16" s="50" t="n">
        <v>48400</v>
      </c>
      <c r="K16" s="50" t="n">
        <v>0</v>
      </c>
      <c r="L16" s="50" t="n">
        <f aca="false">J16*K16</f>
        <v>0</v>
      </c>
      <c r="Q16" s="65" t="n">
        <f aca="false">+H16/$H$28*$Q$28</f>
        <v>36.9909877498388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7" s="67" t="n">
        <f aca="false">((C17/9)*12)-250000-75000</f>
        <v>142873.226666667</v>
      </c>
      <c r="G17" s="66" t="n">
        <f aca="false">E17/$E$22</f>
        <v>0.00655205324702309</v>
      </c>
      <c r="H17" s="65" t="n">
        <f aca="false">((+'[14]Competitive Ana'!F18+'[14]Gas - Fund'!H18+'[14]East - Fund'!F18+'[14]West - Fund'!G18)*1.2)*0.917</f>
        <v>20988.5824011191</v>
      </c>
      <c r="I17" s="50" t="s">
        <v>142</v>
      </c>
      <c r="J17" s="50" t="n">
        <v>49500</v>
      </c>
      <c r="K17" s="50" t="n">
        <v>0</v>
      </c>
      <c r="L17" s="50" t="n">
        <f aca="false">J17*K17</f>
        <v>0</v>
      </c>
      <c r="Q17" s="65" t="n">
        <f aca="false">+H17/$H$28*$Q$28</f>
        <v>636.017648518762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8" s="67" t="n">
        <f aca="false">((C18/9)*12)-75000-75000-50000-25000</f>
        <v>145613.76</v>
      </c>
      <c r="G18" s="66" t="n">
        <f aca="false">E18/$E$22</f>
        <v>0.00667773193955472</v>
      </c>
      <c r="H18" s="65" t="n">
        <f aca="false">((+'[14]Competitive Ana'!F19+'[14]Gas - Fund'!H19+'[14]East - Fund'!F19+'[14]West - Fund'!G19)*1.2)*0.917</f>
        <v>185468.171307597</v>
      </c>
      <c r="I18" s="50" t="s">
        <v>145</v>
      </c>
      <c r="J18" s="50" t="n">
        <v>57750</v>
      </c>
      <c r="K18" s="50" t="n">
        <v>0</v>
      </c>
      <c r="L18" s="50" t="n">
        <f aca="false">J18*K18</f>
        <v>0</v>
      </c>
      <c r="Q18" s="65" t="n">
        <f aca="false">+H18/$H$28*$Q$28</f>
        <v>5620.24761538173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19" s="67" t="n">
        <f aca="false">((C19/9)*12)</f>
        <v>21.3333333333333</v>
      </c>
      <c r="G19" s="66" t="n">
        <f aca="false">E19/$E$22</f>
        <v>9.7832980466384E-007</v>
      </c>
      <c r="H19" s="65" t="n">
        <f aca="false">((+'[14]Competitive Ana'!F20+'[14]Gas - Fund'!H20+'[14]East - Fund'!F20+'[14]West - Fund'!G20)*1.2)*0.917</f>
        <v>11.5567358255319</v>
      </c>
      <c r="I19" s="50" t="s">
        <v>148</v>
      </c>
      <c r="J19" s="50" t="n">
        <v>71500</v>
      </c>
      <c r="K19" s="50" t="n">
        <v>0</v>
      </c>
      <c r="L19" s="50" t="n">
        <f aca="false">J19*K19</f>
        <v>0</v>
      </c>
      <c r="Q19" s="65" t="n">
        <f aca="false">+H19/$H$28*$Q$28</f>
        <v>0.35020411592521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0" s="67" t="n">
        <f aca="false">((C20/9)*12)-75000</f>
        <v>181051.88</v>
      </c>
      <c r="G20" s="66" t="n">
        <f aca="false">E20/$E$22</f>
        <v>0.00830289611223848</v>
      </c>
      <c r="H20" s="65" t="n">
        <f aca="false">((+'[14]Competitive Ana'!F21+'[14]Gas - Fund'!H21+'[14]East - Fund'!F21+'[14]West - Fund'!G21)*1.2)*0.917</f>
        <v>213180.595113761</v>
      </c>
      <c r="I20" s="50" t="s">
        <v>151</v>
      </c>
      <c r="J20" s="50" t="n">
        <v>60500</v>
      </c>
      <c r="K20" s="50" t="n">
        <v>6</v>
      </c>
      <c r="L20" s="50" t="n">
        <f aca="false">J20*K20</f>
        <v>363000</v>
      </c>
      <c r="Q20" s="65" t="n">
        <f aca="false">+H20/$H$28*$Q$28</f>
        <v>6460.01803375033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1" s="67" t="n">
        <f aca="false">((C21/9)*12)-1000000-100000</f>
        <v>5242795.57333334</v>
      </c>
      <c r="G21" s="66" t="n">
        <f aca="false">E21/$E$22</f>
        <v>0.240430461053984</v>
      </c>
      <c r="H21" s="65" t="n">
        <f aca="false">((+'[14]Competitive Ana'!F22+'[14]Gas - Fund'!H22+'[14]East - Fund'!F22+'[14]West - Fund'!G22)*1.2)*0.917</f>
        <v>154978.615156278</v>
      </c>
      <c r="I21" s="50" t="s">
        <v>154</v>
      </c>
      <c r="J21" s="50" t="n">
        <v>89100</v>
      </c>
      <c r="K21" s="50" t="n">
        <v>4</v>
      </c>
      <c r="L21" s="50" t="n">
        <f aca="false">J21*K21</f>
        <v>356400</v>
      </c>
      <c r="Q21" s="65" t="n">
        <f aca="false">+H21/$H$28*$Q$28</f>
        <v>4696.32167140237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21862840.12</v>
      </c>
      <c r="E22" s="74" t="n">
        <f aca="false">SUM(E8:E21)</f>
        <v>21805870.8133333</v>
      </c>
      <c r="G22" s="75" t="n">
        <f aca="false">E22/$E$22</f>
        <v>1</v>
      </c>
      <c r="H22" s="74" t="n">
        <f aca="false">SUM(H8:H21)</f>
        <v>7397292.73965683</v>
      </c>
      <c r="I22" s="50" t="s">
        <v>157</v>
      </c>
      <c r="J22" s="50" t="n">
        <v>110000</v>
      </c>
      <c r="K22" s="50" t="n">
        <v>4</v>
      </c>
      <c r="L22" s="50" t="n">
        <f aca="false">J22*K22</f>
        <v>440000</v>
      </c>
      <c r="Q22" s="74" t="n">
        <f aca="false">SUM(Q8:Q21)</f>
        <v>224160.386050207</v>
      </c>
    </row>
    <row r="23" customFormat="false" ht="12.75" hidden="false" customHeight="false" outlineLevel="0" collapsed="false">
      <c r="I23" s="50" t="s">
        <v>158</v>
      </c>
      <c r="J23" s="50" t="n">
        <v>143000</v>
      </c>
      <c r="K23" s="50" t="n">
        <v>1</v>
      </c>
      <c r="L23" s="50" t="n">
        <f aca="false">J23*K23</f>
        <v>143000</v>
      </c>
    </row>
    <row r="24" customFormat="false" ht="12.75" hidden="false" customHeight="false" outlineLevel="0" collapsed="false">
      <c r="B24" s="73" t="s">
        <v>7</v>
      </c>
      <c r="C24" s="65"/>
      <c r="E24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4" s="77" t="n">
        <f aca="false">+'[14]Competitive Ana'!F25+'[14]Gas - Fund'!H25+'[14]East - Fund'!F25+'[14]West - Fund'!G25</f>
        <v>16</v>
      </c>
      <c r="I24" s="50" t="s">
        <v>159</v>
      </c>
      <c r="J24" s="50" t="n">
        <v>165000</v>
      </c>
      <c r="K24" s="50" t="n">
        <v>0</v>
      </c>
      <c r="L24" s="50" t="n">
        <f aca="false">J24*K24</f>
        <v>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C25" s="65"/>
      <c r="E25" s="65"/>
      <c r="H25" s="65"/>
      <c r="I25" s="50" t="s">
        <v>160</v>
      </c>
      <c r="J25" s="50" t="n">
        <v>198000</v>
      </c>
      <c r="K25" s="50" t="n">
        <v>1</v>
      </c>
      <c r="L25" s="50" t="n">
        <f aca="false">J25*K25</f>
        <v>198000</v>
      </c>
      <c r="Q25" s="65"/>
    </row>
    <row r="26" customFormat="false" ht="12.75" hidden="false" customHeight="false" outlineLevel="0" collapsed="false">
      <c r="B26" s="73" t="s">
        <v>161</v>
      </c>
      <c r="C26" s="65"/>
      <c r="E26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6" s="77" t="n">
        <f aca="false">+'[14]Competitive Ana'!F27+'[14]Gas - Fund'!H27+'[14]East - Fund'!F27+'[14]West - Fund'!G27</f>
        <v>17</v>
      </c>
      <c r="I26" s="50" t="s">
        <v>162</v>
      </c>
      <c r="J26" s="50" t="n">
        <v>220000</v>
      </c>
      <c r="K26" s="50" t="n">
        <v>0</v>
      </c>
      <c r="L26" s="50" t="n">
        <f aca="false">J26*K26</f>
        <v>0</v>
      </c>
      <c r="Q26" s="77" t="n">
        <f aca="false">+T20+T21</f>
        <v>0</v>
      </c>
    </row>
    <row r="27" customFormat="false" ht="12.75" hidden="false" customHeight="false" outlineLevel="0" collapsed="false">
      <c r="K27" s="50" t="n">
        <f aca="false">SUM(K15:K26)</f>
        <v>17</v>
      </c>
      <c r="L27" s="50" t="n">
        <f aca="false">SUM(L15:L26)*1.2</f>
        <v>1840080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SUM(E24:E26)</f>
        <v>160</v>
      </c>
      <c r="G28" s="50"/>
      <c r="H28" s="77" t="n">
        <f aca="false">SUM(H24:H26)</f>
        <v>33</v>
      </c>
      <c r="L28" s="78" t="n">
        <v>0.2</v>
      </c>
      <c r="Q28" s="77" t="n">
        <v>1</v>
      </c>
    </row>
    <row r="29" customFormat="false" ht="12.75" hidden="true" customHeight="false" outlineLevel="0" collapsed="false">
      <c r="L29" s="50" t="n">
        <f aca="false">L27*1.2</f>
        <v>2208096</v>
      </c>
    </row>
    <row r="30" customFormat="false" ht="12.75" hidden="true" customHeight="false" outlineLevel="0" collapsed="false">
      <c r="H30" s="17" t="s">
        <v>164</v>
      </c>
      <c r="L30" s="0"/>
    </row>
    <row r="31" customFormat="false" ht="12.75" hidden="true" customHeight="false" outlineLevel="0" collapsed="false">
      <c r="B31" s="64" t="s">
        <v>131</v>
      </c>
      <c r="C31" s="65" t="n">
        <v>254512</v>
      </c>
      <c r="L31" s="0"/>
    </row>
    <row r="32" customFormat="false" ht="12.75" hidden="true" customHeight="false" outlineLevel="0" collapsed="false">
      <c r="H32" s="79" t="s">
        <v>165</v>
      </c>
      <c r="I32" s="80" t="s">
        <v>166</v>
      </c>
      <c r="J32" s="80" t="s">
        <v>167</v>
      </c>
      <c r="K32" s="80" t="s">
        <v>110</v>
      </c>
      <c r="L32" s="80" t="s">
        <v>168</v>
      </c>
    </row>
    <row r="33" customFormat="false" ht="12.75" hidden="true" customHeight="false" outlineLevel="0" collapsed="false">
      <c r="H33" s="81" t="n">
        <f aca="false">SUM(E11:E21)</f>
        <v>7723229</v>
      </c>
      <c r="I33" s="80" t="n">
        <f aca="false">+E28</f>
        <v>160</v>
      </c>
      <c r="J33" s="80" t="n">
        <f aca="false">+H33/I33</f>
        <v>48270.18125</v>
      </c>
      <c r="K33" s="80" t="n">
        <f aca="false">+K10</f>
        <v>17</v>
      </c>
      <c r="L33" s="80" t="n">
        <f aca="false">+J33*K33</f>
        <v>820593.08125</v>
      </c>
    </row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51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'[15]Executive Orig'!C8+[15]Trading!C8+[15]Origination!C8+'[15]Mid Market'!C8+[15]Services!C8+[15]Fundamentals!C8</f>
        <v>4789958.99</v>
      </c>
      <c r="E8" s="65" t="n">
        <f aca="false">(C8/9)*12</f>
        <v>6386611.98666667</v>
      </c>
      <c r="F8" s="65"/>
      <c r="G8" s="65" t="n">
        <f aca="false">((+'[14]West - Struct'!G8+'[14]Gas - Struct'!H8)*1.2)*0.917</f>
        <v>654958.08</v>
      </c>
      <c r="H8" s="65"/>
      <c r="I8" s="91" t="n">
        <f aca="false">+G8/$G$22</f>
        <v>0.632869464970041</v>
      </c>
      <c r="K8" s="88" t="s">
        <v>120</v>
      </c>
      <c r="L8" s="50" t="n">
        <v>0</v>
      </c>
      <c r="M8" s="27" t="n">
        <f aca="false">+M10</f>
        <v>2</v>
      </c>
      <c r="N8" s="92" t="n">
        <f aca="false">N27</f>
        <v>260640</v>
      </c>
      <c r="O8" s="65" t="n">
        <f aca="false">+G8/$G$28*$O$28</f>
        <v>130991.616</v>
      </c>
    </row>
    <row r="9" customFormat="false" ht="12.75" hidden="false" customHeight="false" outlineLevel="0" collapsed="false">
      <c r="B9" s="64" t="s">
        <v>192</v>
      </c>
      <c r="C9" s="65" t="n">
        <f aca="false">'[15]Executive Orig'!C10+[15]Trading!C10+[15]Origination!C10+'[15]Mid Market'!C10+[15]Services!C10+[15]Fundamentals!C10</f>
        <v>804567</v>
      </c>
      <c r="E9" s="65" t="n">
        <f aca="false">(C9/9)*12</f>
        <v>1072756</v>
      </c>
      <c r="F9" s="65"/>
      <c r="G9" s="65" t="n">
        <f aca="false">((+'[14]West - Struct'!G10+'[14]Gas - Struct'!H10)*1.2)*0.917</f>
        <v>106958.88</v>
      </c>
      <c r="H9" s="65"/>
      <c r="I9" s="91" t="n">
        <f aca="false">+G9/$G$22</f>
        <v>0.103351666658414</v>
      </c>
      <c r="K9" s="88"/>
      <c r="L9" s="27"/>
      <c r="M9" s="27"/>
      <c r="N9" s="89"/>
      <c r="O9" s="65" t="n">
        <f aca="false">+G9/$G$28*$O$28</f>
        <v>21391.776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'[15]Executive Orig'!C11+[15]Trading!C11+[15]Origination!C11+'[15]Mid Market'!C11+[15]Services!C11+[15]Fundamentals!C11</f>
        <v>1096068.21</v>
      </c>
      <c r="E10" s="65" t="n">
        <f aca="false">(C10/9)*12</f>
        <v>1461424.28</v>
      </c>
      <c r="F10" s="65"/>
      <c r="G10" s="65" t="n">
        <f aca="false">((+'[14]West - Struct'!G11+'[14]Gas - Struct'!H11)*1.2)*0.917</f>
        <v>152383.392</v>
      </c>
      <c r="H10" s="65"/>
      <c r="I10" s="91" t="n">
        <f aca="false">+G10/$G$22</f>
        <v>0.147244226325691</v>
      </c>
      <c r="K10" s="88" t="s">
        <v>83</v>
      </c>
      <c r="L10" s="80" t="n">
        <f aca="false">(E11+E12+E13+E14+E15+E16+E17+E18+E19+E20+E21)/E28</f>
        <v>47533.8552808989</v>
      </c>
      <c r="M10" s="27" t="n">
        <f aca="false">M27</f>
        <v>2</v>
      </c>
      <c r="N10" s="92" t="n">
        <f aca="false">L10*M10</f>
        <v>95067.7105617977</v>
      </c>
      <c r="O10" s="65" t="n">
        <f aca="false">+G10/$G$28*$O$28</f>
        <v>30476.6784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'[15]Executive Orig'!C12+[15]Trading!C12+[15]Origination!C12+'[15]Mid Market'!C12+[15]Services!C12+[15]Fundamentals!C12</f>
        <v>658117.68</v>
      </c>
      <c r="E11" s="67" t="n">
        <f aca="false">((C11/9)*12)*1.2</f>
        <v>1052988.288</v>
      </c>
      <c r="F11" s="65"/>
      <c r="G11" s="65" t="n">
        <f aca="false">((+'[14]West - Struct'!G12+'[14]Gas - Struct'!H12)*1.2)*0.917</f>
        <v>36189.3183435</v>
      </c>
      <c r="H11" s="65"/>
      <c r="I11" s="91" t="n">
        <f aca="false">+G11/$G$22</f>
        <v>0.034968825085235</v>
      </c>
      <c r="K11" s="88"/>
      <c r="L11" s="27"/>
      <c r="M11" s="27"/>
      <c r="N11" s="89"/>
      <c r="O11" s="65" t="n">
        <f aca="false">+G11/$G$28*$O$28</f>
        <v>7237.8636687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'[15]Executive Orig'!C13+[15]Trading!C13+[15]Origination!C13+'[15]Mid Market'!C13+[15]Services!C13+[15]Fundamentals!C13</f>
        <v>719773.8</v>
      </c>
      <c r="E12" s="67" t="n">
        <f aca="false">((C12/9)*12)*1.2</f>
        <v>1151638.08</v>
      </c>
      <c r="F12" s="65"/>
      <c r="G12" s="65" t="n">
        <f aca="false">((+'[14]West - Struct'!G13+'[14]Gas - Struct'!H13)*1.2)*0.917</f>
        <v>48698.0597733</v>
      </c>
      <c r="H12" s="65"/>
      <c r="I12" s="91" t="n">
        <f aca="false">+G12/$G$22</f>
        <v>0.0470557062733045</v>
      </c>
      <c r="K12" s="93" t="s">
        <v>129</v>
      </c>
      <c r="L12" s="94"/>
      <c r="M12" s="94"/>
      <c r="N12" s="95" t="n">
        <f aca="false">N8+N10</f>
        <v>355707.710561798</v>
      </c>
      <c r="O12" s="65" t="n">
        <f aca="false">+G12/$G$28*$O$28</f>
        <v>9739.61195466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'[15]Executive Orig'!C14+[15]Trading!C14+[15]Origination!C14+'[15]Mid Market'!C14+[15]Services!C14+[15]Fundamentals!C14-C31</f>
        <v>0.239999999757856</v>
      </c>
      <c r="E13" s="67" t="n">
        <f aca="false">((C13/9)*12)*1.2</f>
        <v>0.38399999961257</v>
      </c>
      <c r="F13" s="65"/>
      <c r="G13" s="65" t="n">
        <f aca="false">((+'[14]West - Struct'!G14+'[14]Gas - Struct'!H14)*1.2)*0.917</f>
        <v>0.016097986507818</v>
      </c>
      <c r="H13" s="65"/>
      <c r="I13" s="91" t="n">
        <f aca="false">+G13/$G$22</f>
        <v>1.55550781330886E-008</v>
      </c>
      <c r="O13" s="65" t="n">
        <f aca="false">+G13/$G$28*$O$28</f>
        <v>0.00321959730156359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'[15]Executive Orig'!C15+[15]Trading!C15+[15]Origination!C15+'[15]Mid Market'!C15+[15]Services!C15+[15]Fundamentals!C15</f>
        <v>128890.14</v>
      </c>
      <c r="E14" s="67" t="n">
        <f aca="false">((C14/9)*12)*1.2</f>
        <v>206224.224</v>
      </c>
      <c r="F14" s="65"/>
      <c r="G14" s="65" t="n">
        <f aca="false">((+'[14]West - Struct'!G15+'[14]Gas - Struct'!H15)*1.2)*0.917</f>
        <v>9214.83213</v>
      </c>
      <c r="H14" s="65"/>
      <c r="I14" s="91" t="n">
        <f aca="false">+G14/$G$22</f>
        <v>0.00890405975280409</v>
      </c>
      <c r="O14" s="65" t="n">
        <f aca="false">+G14/$G$28*$O$28</f>
        <v>1842.966426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'[15]Executive Orig'!C16+[15]Trading!C16+[15]Origination!C16+'[15]Mid Market'!C16+[15]Services!C16+[15]Fundamentals!C16</f>
        <v>0</v>
      </c>
      <c r="E15" s="67" t="n">
        <f aca="false">((C15/9)*12)*1.2</f>
        <v>0</v>
      </c>
      <c r="F15" s="65"/>
      <c r="G15" s="65" t="n">
        <f aca="false">((+'[14]West - Struct'!G16+'[14]Gas - Struct'!H16)*1.2)*0.917</f>
        <v>0</v>
      </c>
      <c r="H15" s="65"/>
      <c r="I15" s="91" t="n">
        <f aca="false">+G15/$G$22</f>
        <v>0</v>
      </c>
      <c r="K15" s="0" t="s">
        <v>193</v>
      </c>
      <c r="L15" s="50" t="n">
        <v>33600</v>
      </c>
      <c r="M15" s="0" t="n">
        <v>0</v>
      </c>
      <c r="N15" s="50" t="n">
        <f aca="false">L15*M15</f>
        <v>0</v>
      </c>
      <c r="O15" s="65" t="n">
        <f aca="false">+G15/$G$28*$O$28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'[15]Executive Orig'!C17+[15]Trading!C17+[15]Origination!C17+'[15]Mid Market'!C17+[15]Services!C17+[15]Fundamentals!C17</f>
        <v>11300</v>
      </c>
      <c r="E16" s="67" t="n">
        <f aca="false">((C16/9)*12)*1.2</f>
        <v>18080</v>
      </c>
      <c r="F16" s="65"/>
      <c r="G16" s="65" t="n">
        <f aca="false">((+'[14]West - Struct'!G17+'[14]Gas - Struct'!H17)*1.2)*0.917</f>
        <v>162.309</v>
      </c>
      <c r="H16" s="65"/>
      <c r="I16" s="91" t="n">
        <f aca="false">+G16/$G$22</f>
        <v>0.000156835090865392</v>
      </c>
      <c r="K16" s="0" t="s">
        <v>139</v>
      </c>
      <c r="L16" s="50" t="n">
        <v>52800</v>
      </c>
      <c r="M16" s="0" t="n">
        <v>0</v>
      </c>
      <c r="N16" s="50" t="n">
        <f aca="false">L16*M16</f>
        <v>0</v>
      </c>
      <c r="O16" s="65" t="n">
        <f aca="false">+G16/$G$28*$O$28</f>
        <v>32.4618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'[15]Executive Orig'!C18+[15]Trading!C18+[15]Origination!C18+'[15]Mid Market'!C18+[15]Services!C18+[15]Fundamentals!C18</f>
        <v>327447.74</v>
      </c>
      <c r="E17" s="67" t="n">
        <f aca="false">((C17/9)*12)*1.2</f>
        <v>523916.384</v>
      </c>
      <c r="F17" s="65"/>
      <c r="G17" s="65" t="n">
        <f aca="false">((+'[14]West - Struct'!G18+'[14]Gas - Struct'!H18)*1.2)*0.917</f>
        <v>4928.5518492</v>
      </c>
      <c r="H17" s="65"/>
      <c r="I17" s="91" t="n">
        <f aca="false">+G17/$G$22</f>
        <v>0.0047623352808783</v>
      </c>
      <c r="K17" s="0" t="s">
        <v>142</v>
      </c>
      <c r="L17" s="50" t="n">
        <v>54000</v>
      </c>
      <c r="M17" s="0" t="n">
        <v>0</v>
      </c>
      <c r="N17" s="50" t="n">
        <f aca="false">L17*M17</f>
        <v>0</v>
      </c>
      <c r="O17" s="65" t="n">
        <f aca="false">+G17/$G$28*$O$28</f>
        <v>985.71036984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'[15]Executive Orig'!C19+[15]Trading!C19+[15]Origination!C19+'[15]Mid Market'!C19+[15]Services!C19+[15]Fundamentals!C19</f>
        <v>155845.37</v>
      </c>
      <c r="E18" s="67" t="n">
        <f aca="false">((C18/9)*12)*1.2</f>
        <v>249352.592</v>
      </c>
      <c r="F18" s="65"/>
      <c r="G18" s="65" t="n">
        <f aca="false">((+'[14]West - Struct'!G19+'[14]Gas - Struct'!H19)*1.2)*0.917</f>
        <v>9170.38921189214</v>
      </c>
      <c r="H18" s="65"/>
      <c r="I18" s="91" t="n">
        <f aca="false">+G18/$G$22</f>
        <v>0.00886111568254447</v>
      </c>
      <c r="K18" s="0" t="s">
        <v>145</v>
      </c>
      <c r="L18" s="50" t="n">
        <v>63000</v>
      </c>
      <c r="M18" s="0" t="n">
        <v>0</v>
      </c>
      <c r="N18" s="50" t="n">
        <f aca="false">L18*M18</f>
        <v>0</v>
      </c>
      <c r="O18" s="65" t="n">
        <f aca="false">+G18/$G$28*$O$28</f>
        <v>1834.07784237843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'[15]Executive Orig'!C20+[15]Trading!C20+[15]Origination!C20+'[15]Mid Market'!C20+[15]Services!C20+[15]Fundamentals!C20</f>
        <v>116.15</v>
      </c>
      <c r="E19" s="67" t="n">
        <f aca="false">((C19/9)*12)*1.2</f>
        <v>185.84</v>
      </c>
      <c r="F19" s="65"/>
      <c r="G19" s="65" t="n">
        <f aca="false">((+'[14]West - Struct'!G20+'[14]Gas - Struct'!H20)*1.2)*0.917</f>
        <v>5.0356282247191</v>
      </c>
      <c r="H19" s="65"/>
      <c r="I19" s="91" t="n">
        <f aca="false">+G19/$G$22</f>
        <v>4.86580048049184E-006</v>
      </c>
      <c r="K19" s="0" t="s">
        <v>148</v>
      </c>
      <c r="L19" s="50" t="n">
        <v>78000</v>
      </c>
      <c r="M19" s="0" t="n">
        <f aca="false">2-2</f>
        <v>0</v>
      </c>
      <c r="N19" s="50" t="n">
        <f aca="false">L19*M19</f>
        <v>0</v>
      </c>
      <c r="O19" s="65" t="n">
        <f aca="false">+G19/$G$28*$O$28</f>
        <v>1.00712564494382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'[15]Executive Orig'!C21+[15]Trading!C21+[15]Origination!C21+'[15]Mid Market'!C21+[15]Services!C21+[15]Fundamentals!C21</f>
        <v>566869.93</v>
      </c>
      <c r="E20" s="67" t="n">
        <f aca="false">((C20/9)*12)*1.2</f>
        <v>906991.888</v>
      </c>
      <c r="F20" s="65"/>
      <c r="G20" s="65" t="n">
        <f aca="false">((+'[14]West - Struct'!G21+'[14]Gas - Struct'!H21)*1.2)*0.917</f>
        <v>9237.5529141</v>
      </c>
      <c r="H20" s="65"/>
      <c r="I20" s="91" t="n">
        <f aca="false">+G20/$G$22</f>
        <v>0.00892601427312556</v>
      </c>
      <c r="K20" s="0" t="s">
        <v>151</v>
      </c>
      <c r="L20" s="50" t="n">
        <v>66000</v>
      </c>
      <c r="M20" s="0" t="n">
        <v>0</v>
      </c>
      <c r="N20" s="50" t="n">
        <f aca="false">L20*M20</f>
        <v>0</v>
      </c>
      <c r="O20" s="65" t="n">
        <f aca="false">+G20/$G$28*$O$28</f>
        <v>1847.51058282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'[15]Executive Orig'!C22+[15]Trading!C22+[15]Origination!C22+'[15]Mid Market'!C22+[15]Services!C22+[15]Fundamentals!C22</f>
        <v>75709.65</v>
      </c>
      <c r="E21" s="67" t="n">
        <f aca="false">((C21/9)*12)*1.2</f>
        <v>121135.44</v>
      </c>
      <c r="F21" s="65"/>
      <c r="G21" s="65" t="n">
        <f aca="false">((+'[14]West - Struct'!G22+'[14]Gas - Struct'!H22)*1.2)*0.917</f>
        <v>2995.90691569893</v>
      </c>
      <c r="H21" s="65"/>
      <c r="I21" s="91" t="n">
        <f aca="false">+G21/$G$22</f>
        <v>0.00289486925153809</v>
      </c>
      <c r="K21" s="0" t="s">
        <v>154</v>
      </c>
      <c r="L21" s="50" t="n">
        <v>97200</v>
      </c>
      <c r="M21" s="0" t="n">
        <v>1</v>
      </c>
      <c r="N21" s="50" t="n">
        <f aca="false">L21*M21</f>
        <v>97200</v>
      </c>
      <c r="O21" s="65" t="n">
        <f aca="false">+G21/$G$28*$O$28</f>
        <v>599.181383139785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9334664.9</v>
      </c>
      <c r="E22" s="74" t="n">
        <f aca="false">SUM(E8:E21)</f>
        <v>13151305.3866667</v>
      </c>
      <c r="F22" s="76"/>
      <c r="G22" s="74" t="n">
        <f aca="false">SUM(G8:G21)</f>
        <v>1034902.3238639</v>
      </c>
      <c r="H22" s="76"/>
      <c r="I22" s="97" t="n">
        <f aca="false">SUM(I8:I21)</f>
        <v>1</v>
      </c>
      <c r="K22" s="0" t="s">
        <v>157</v>
      </c>
      <c r="L22" s="50" t="n">
        <v>120000</v>
      </c>
      <c r="M22" s="0" t="n">
        <v>1</v>
      </c>
      <c r="N22" s="50" t="n">
        <f aca="false">L22*M22</f>
        <v>120000</v>
      </c>
      <c r="O22" s="74" t="n">
        <f aca="false">SUM(O8:O21)</f>
        <v>206980.46477278</v>
      </c>
    </row>
    <row r="23" customFormat="false" ht="12.75" hidden="false" customHeight="false" outlineLevel="0" collapsed="false">
      <c r="K23" s="0" t="s">
        <v>158</v>
      </c>
      <c r="L23" s="50" t="n">
        <v>156000</v>
      </c>
      <c r="M23" s="0" t="n">
        <f aca="false">1-1</f>
        <v>0</v>
      </c>
      <c r="N23" s="50" t="n">
        <f aca="false">L23*M23</f>
        <v>0</v>
      </c>
    </row>
    <row r="24" customFormat="false" ht="12.75" hidden="false" customHeight="false" outlineLevel="0" collapsed="false">
      <c r="B24" s="73" t="s">
        <v>7</v>
      </c>
      <c r="C24" s="65"/>
      <c r="E24" s="77" t="n">
        <f aca="false">'[15]Executive Orig'!E25+[15]Trading!E25+[15]Origination!E25+'[15]Mid Market'!E25+[15]Services!E25+[15]Fundamentals!E25</f>
        <v>74</v>
      </c>
      <c r="F24" s="65"/>
      <c r="G24" s="77" t="n">
        <f aca="false">+'[14]West - Struct'!G25+'[14]Gas - Struct'!H25</f>
        <v>4</v>
      </c>
      <c r="H24" s="65"/>
      <c r="K24" s="0" t="s">
        <v>159</v>
      </c>
      <c r="L24" s="50" t="n">
        <v>180000</v>
      </c>
      <c r="M24" s="0" t="n">
        <v>0</v>
      </c>
      <c r="N24" s="50" t="n">
        <f aca="false">L24*M24</f>
        <v>0</v>
      </c>
      <c r="O24" s="77" t="n">
        <v>1</v>
      </c>
    </row>
    <row r="25" customFormat="false" ht="12.75" hidden="false" customHeight="false" outlineLevel="0" collapsed="false">
      <c r="C25" s="65"/>
      <c r="E25" s="65"/>
      <c r="F25" s="65"/>
      <c r="G25" s="65"/>
      <c r="H25" s="65"/>
      <c r="K25" s="0" t="s">
        <v>160</v>
      </c>
      <c r="L25" s="50" t="n">
        <v>216000</v>
      </c>
      <c r="M25" s="0" t="n">
        <v>0</v>
      </c>
      <c r="N25" s="50" t="n">
        <f aca="false">L25*M25</f>
        <v>0</v>
      </c>
      <c r="O25" s="65"/>
    </row>
    <row r="26" customFormat="false" ht="12.75" hidden="false" customHeight="false" outlineLevel="0" collapsed="false">
      <c r="B26" s="73" t="s">
        <v>194</v>
      </c>
      <c r="C26" s="65"/>
      <c r="E26" s="77" t="n">
        <f aca="false">'[15]Executive Orig'!E27+[15]Trading!E27+[15]Origination!E27+'[15]Mid Market'!E27+[15]Services!E27+[15]Fundamentals!E27</f>
        <v>15</v>
      </c>
      <c r="F26" s="65"/>
      <c r="G26" s="77" t="n">
        <f aca="false">+'[14]West - Struct'!G27+'[14]Gas - Struct'!H27</f>
        <v>1</v>
      </c>
      <c r="H26" s="65"/>
      <c r="K26" s="0" t="s">
        <v>162</v>
      </c>
      <c r="L26" s="50" t="n">
        <v>240000</v>
      </c>
      <c r="M26" s="0" t="n">
        <v>0</v>
      </c>
      <c r="N26" s="50" t="n">
        <f aca="false">L26*M26</f>
        <v>0</v>
      </c>
      <c r="O26" s="77" t="n">
        <f aca="false">+U20+U21</f>
        <v>0</v>
      </c>
    </row>
    <row r="27" customFormat="false" ht="12.75" hidden="false" customHeight="false" outlineLevel="0" collapsed="false">
      <c r="M27" s="0" t="n">
        <f aca="false">SUM(M15:M26)</f>
        <v>2</v>
      </c>
      <c r="N27" s="50" t="n">
        <f aca="false">SUM(N15:N26)*1.2</f>
        <v>260640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89</v>
      </c>
      <c r="F28" s="65"/>
      <c r="G28" s="77" t="n">
        <f aca="false">+G26+G24</f>
        <v>5</v>
      </c>
      <c r="H28" s="65"/>
      <c r="I28" s="50"/>
      <c r="O28" s="77" t="n">
        <f aca="false">+O26+O24</f>
        <v>1</v>
      </c>
    </row>
    <row r="30" customFormat="false" ht="12.75" hidden="false" customHeight="false" outlineLevel="0" collapsed="false">
      <c r="J30" s="17" t="s">
        <v>164</v>
      </c>
      <c r="K30" s="50"/>
      <c r="L30" s="50"/>
      <c r="M30" s="50"/>
    </row>
    <row r="31" customFormat="false" ht="12.75" hidden="true" customHeight="false" outlineLevel="0" collapsed="false">
      <c r="B31" s="64" t="s">
        <v>131</v>
      </c>
      <c r="C31" s="65" t="n">
        <v>677322</v>
      </c>
      <c r="K31" s="50"/>
      <c r="L31" s="50"/>
      <c r="M31" s="50"/>
    </row>
    <row r="32" customFormat="false" ht="12.75" hidden="false" customHeight="false" outlineLevel="0" collapsed="false">
      <c r="J32" s="79" t="s">
        <v>165</v>
      </c>
      <c r="K32" s="80" t="s">
        <v>166</v>
      </c>
      <c r="L32" s="80" t="s">
        <v>167</v>
      </c>
      <c r="M32" s="80" t="s">
        <v>110</v>
      </c>
      <c r="N32" s="80" t="s">
        <v>168</v>
      </c>
    </row>
    <row r="33" customFormat="false" ht="12.75" hidden="false" customHeight="false" outlineLevel="0" collapsed="false">
      <c r="J33" s="81" t="n">
        <f aca="false">SUM(E11:E21)</f>
        <v>4230513.12</v>
      </c>
      <c r="K33" s="80" t="n">
        <f aca="false">+E28</f>
        <v>89</v>
      </c>
      <c r="L33" s="80" t="n">
        <f aca="false">+J33/K33</f>
        <v>47533.8552808989</v>
      </c>
      <c r="M33" s="80" t="n">
        <f aca="false">+M10</f>
        <v>2</v>
      </c>
      <c r="N33" s="80" t="n">
        <f aca="false">+L33*M33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52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E8/$E$22</f>
        <v>0.528778555954281</v>
      </c>
      <c r="H8" s="65" t="n">
        <f aca="false">((L27-H9)*1.2)*0.917</f>
        <v>791627.76</v>
      </c>
      <c r="I8" s="59" t="s">
        <v>120</v>
      </c>
      <c r="J8" s="50" t="n">
        <v>0</v>
      </c>
      <c r="L8" s="60" t="n">
        <f aca="false">L29</f>
        <v>863280</v>
      </c>
      <c r="Q8" s="65" t="n">
        <f aca="false">+H8/$H$28*$Q$28</f>
        <v>158325.552</v>
      </c>
    </row>
    <row r="9" customFormat="false" ht="12.75" hidden="false" customHeight="false" outlineLevel="0" collapsed="false">
      <c r="A9" s="63"/>
      <c r="B9" s="64" t="s">
        <v>122</v>
      </c>
      <c r="C9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9" s="65"/>
      <c r="E9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9" s="66" t="n">
        <f aca="false">E9/$E$22</f>
        <v>0.00377976191391553</v>
      </c>
      <c r="H9" s="65" t="n">
        <f aca="false">((L20+L21)*1.2)*0.917</f>
        <v>0</v>
      </c>
      <c r="I9" s="59"/>
      <c r="L9" s="60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0" s="65" t="n">
        <f aca="false">((C10/9)*12)</f>
        <v>2469743.93333333</v>
      </c>
      <c r="G10" s="66" t="n">
        <f aca="false">E10/$E$22</f>
        <v>0.113260504681299</v>
      </c>
      <c r="H10" s="65" t="n">
        <f aca="false">((L29-L27)*1.2)*0.917</f>
        <v>158325.552</v>
      </c>
      <c r="I10" s="59" t="s">
        <v>83</v>
      </c>
      <c r="J10" s="50" t="n">
        <f aca="false">(E11+E12+E13+E14+E15+E16+E17+E18+E19+E20+E21)/E28</f>
        <v>48270.18125</v>
      </c>
      <c r="K10" s="50" t="n">
        <f aca="false">K27</f>
        <v>5</v>
      </c>
      <c r="L10" s="60" t="n">
        <f aca="false">J10*K10</f>
        <v>241350.90625</v>
      </c>
      <c r="Q10" s="65" t="n">
        <f aca="false">+H10/$H$28*$Q$28</f>
        <v>31665.1104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1" s="67" t="n">
        <f aca="false">((C11/9)*12)-500000</f>
        <v>985995.8</v>
      </c>
      <c r="G11" s="66" t="n">
        <f aca="false">E11/$E$22</f>
        <v>0.0452169880506265</v>
      </c>
      <c r="H11" s="65" t="n">
        <f aca="false">(((E11/$E$28)*$K$10)*1.2)*0.917</f>
        <v>33905.9305725</v>
      </c>
      <c r="I11" s="59"/>
      <c r="L11" s="60"/>
      <c r="Q11" s="65" t="n">
        <f aca="false">+H11/$H$28*$Q$28</f>
        <v>6781.1861145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2" s="67" t="n">
        <f aca="false">((C12/9)*12)-500000-500000</f>
        <v>877593.106666667</v>
      </c>
      <c r="G12" s="66" t="n">
        <f aca="false">E12/$E$22</f>
        <v>0.0402457262165406</v>
      </c>
      <c r="H12" s="65" t="n">
        <f aca="false">(((E12/$E$28)*$K$10)*1.2)*0.917</f>
        <v>30178.2329555</v>
      </c>
      <c r="I12" s="68" t="s">
        <v>129</v>
      </c>
      <c r="J12" s="69"/>
      <c r="K12" s="69"/>
      <c r="L12" s="70" t="n">
        <f aca="false">L8+L10</f>
        <v>1104630.90625</v>
      </c>
      <c r="N12" s="50" t="n">
        <v>24109311.029375</v>
      </c>
      <c r="P12" s="71" t="n">
        <f aca="false">N12-L12</f>
        <v>23004680.123125</v>
      </c>
      <c r="Q12" s="65" t="n">
        <f aca="false">+H12/$H$28*$Q$28</f>
        <v>6035.6465911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Origination'!C14+[4]Fundamentals!C14-C31</f>
        <v>0.240000000019791</v>
      </c>
      <c r="E13" s="67" t="n">
        <f aca="false">(C13/9)*12</f>
        <v>0.320000000026387</v>
      </c>
      <c r="G13" s="66" t="n">
        <f aca="false">E13/$E$22</f>
        <v>1.46749470711677E-008</v>
      </c>
      <c r="H13" s="65" t="n">
        <v>147233.52</v>
      </c>
      <c r="Q13" s="65" t="n">
        <f aca="false">+H13/$H$28*$Q$28</f>
        <v>29446.704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4" s="67" t="n">
        <f aca="false">((C14/9)*12)-75000</f>
        <v>139417.333333333</v>
      </c>
      <c r="G14" s="66" t="n">
        <f aca="false">E14/$E$22</f>
        <v>0.00639356871031657</v>
      </c>
      <c r="H14" s="65" t="n">
        <f aca="false">(((E14/$E$28)*$K$10)*1.2)*0.917</f>
        <v>4794.21355</v>
      </c>
      <c r="Q14" s="65" t="n">
        <f aca="false">+H14/$H$28*$Q$28</f>
        <v>958.84271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5" s="67" t="n">
        <f aca="false">(C15/9)*12</f>
        <v>0</v>
      </c>
      <c r="G15" s="66" t="n">
        <f aca="false">E15/$E$22</f>
        <v>0</v>
      </c>
      <c r="H15" s="65" t="n">
        <f aca="false">(((E15/$E$28)*$K$10)*1.2)*0.917</f>
        <v>0</v>
      </c>
      <c r="I15" s="50" t="s">
        <v>136</v>
      </c>
      <c r="J15" s="50" t="n">
        <v>33000</v>
      </c>
      <c r="K15" s="50" t="n">
        <f aca="false">1-1</f>
        <v>0</v>
      </c>
      <c r="L15" s="50" t="n">
        <f aca="false">J15*K15</f>
        <v>0</v>
      </c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6" s="67" t="n">
        <f aca="false">((C16/9)*12)</f>
        <v>7866.66666666667</v>
      </c>
      <c r="G16" s="66" t="n">
        <f aca="false">E16/$E$22</f>
        <v>0.000360759115469791</v>
      </c>
      <c r="H16" s="65" t="n">
        <f aca="false">(((E16/$E$28)*$K$10)*1.2)*0.917</f>
        <v>270.515</v>
      </c>
      <c r="I16" s="50" t="s">
        <v>139</v>
      </c>
      <c r="J16" s="50" t="n">
        <v>48400</v>
      </c>
      <c r="K16" s="50" t="n">
        <f aca="false">1-1</f>
        <v>0</v>
      </c>
      <c r="L16" s="50" t="n">
        <f aca="false">J16*K16</f>
        <v>0</v>
      </c>
      <c r="Q16" s="65" t="n">
        <f aca="false">+H16/$H$28*$Q$28</f>
        <v>54.103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7" s="67" t="n">
        <f aca="false">((C17/9)*12)-250000-75000</f>
        <v>142873.226666667</v>
      </c>
      <c r="G17" s="66" t="n">
        <f aca="false">E17/$E$22</f>
        <v>0.00655205324702309</v>
      </c>
      <c r="H17" s="65" t="n">
        <f aca="false">(((E17/$E$28)*$K$10)*1.2)*0.917</f>
        <v>4913.053082</v>
      </c>
      <c r="I17" s="50" t="s">
        <v>142</v>
      </c>
      <c r="J17" s="50" t="n">
        <v>49500</v>
      </c>
      <c r="K17" s="50" t="n">
        <f aca="false">1-1</f>
        <v>0</v>
      </c>
      <c r="L17" s="50" t="n">
        <f aca="false">J17*K17</f>
        <v>0</v>
      </c>
      <c r="Q17" s="65" t="n">
        <f aca="false">+H17/$H$28*$Q$28</f>
        <v>982.6106164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8" s="67" t="n">
        <f aca="false">((C18/9)*12)-75000-75000-50000-25000</f>
        <v>145613.76</v>
      </c>
      <c r="G18" s="66" t="n">
        <f aca="false">E18/$E$22</f>
        <v>0.00667773193955472</v>
      </c>
      <c r="H18" s="65" t="n">
        <f aca="false">(((E18/$E$28)*$K$10)*1.2)*0.917</f>
        <v>5007.293172</v>
      </c>
      <c r="I18" s="50" t="s">
        <v>145</v>
      </c>
      <c r="J18" s="50" t="n">
        <v>57750</v>
      </c>
      <c r="K18" s="50" t="n">
        <f aca="false">1-1</f>
        <v>0</v>
      </c>
      <c r="L18" s="50" t="n">
        <f aca="false">J18*K18</f>
        <v>0</v>
      </c>
      <c r="Q18" s="65" t="n">
        <f aca="false">+H18/$H$28*$Q$28</f>
        <v>1001.4586344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19" s="67" t="n">
        <f aca="false">((C19/9)*12)</f>
        <v>21.3333333333333</v>
      </c>
      <c r="G19" s="66" t="n">
        <f aca="false">E19/$E$22</f>
        <v>9.7832980466384E-007</v>
      </c>
      <c r="H19" s="65" t="n">
        <f aca="false">(((E19/$E$28)*$K$10)*1.2)*0.917</f>
        <v>0.7336</v>
      </c>
      <c r="I19" s="50" t="s">
        <v>148</v>
      </c>
      <c r="J19" s="50" t="n">
        <v>71500</v>
      </c>
      <c r="K19" s="50" t="n">
        <v>1</v>
      </c>
      <c r="L19" s="50" t="n">
        <f aca="false">J19*K19</f>
        <v>71500</v>
      </c>
      <c r="Q19" s="65" t="n">
        <f aca="false">+H19/$H$28*$Q$28</f>
        <v>0.14672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0" s="67" t="n">
        <f aca="false">((C20/9)*12)-75000</f>
        <v>181051.88</v>
      </c>
      <c r="G20" s="66" t="n">
        <f aca="false">E20/$E$22</f>
        <v>0.00830289611223848</v>
      </c>
      <c r="H20" s="65" t="n">
        <f aca="false">(((E20/$E$28)*$K$10)*1.2)*0.917</f>
        <v>6225.9215235</v>
      </c>
      <c r="I20" s="50" t="s">
        <v>151</v>
      </c>
      <c r="J20" s="50" t="n">
        <v>60500</v>
      </c>
      <c r="K20" s="50" t="n">
        <f aca="false">1-1</f>
        <v>0</v>
      </c>
      <c r="L20" s="50" t="n">
        <f aca="false">J20*K20</f>
        <v>0</v>
      </c>
      <c r="Q20" s="65" t="n">
        <f aca="false">+H20/$H$28*$Q$28</f>
        <v>1245.1843047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1" s="67" t="n">
        <f aca="false">((C21/9)*12)-1000000-100000</f>
        <v>5242795.57333334</v>
      </c>
      <c r="G21" s="66" t="n">
        <f aca="false">E21/$E$22</f>
        <v>0.240430461053984</v>
      </c>
      <c r="H21" s="65" t="n">
        <f aca="false">(((E21/$E$28)*$K$10-65535)*1.2)*0.917</f>
        <v>108171.918778</v>
      </c>
      <c r="I21" s="50" t="s">
        <v>154</v>
      </c>
      <c r="J21" s="50" t="n">
        <v>89100</v>
      </c>
      <c r="K21" s="50" t="n">
        <f aca="false">1-1</f>
        <v>0</v>
      </c>
      <c r="L21" s="50" t="n">
        <f aca="false">J21*K21</f>
        <v>0</v>
      </c>
      <c r="Q21" s="65" t="n">
        <f aca="false">+H21/$H$28*$Q$28</f>
        <v>21634.3837556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21862840.12</v>
      </c>
      <c r="E22" s="74" t="n">
        <f aca="false">SUM(E8:E21)</f>
        <v>21805870.8133333</v>
      </c>
      <c r="G22" s="75" t="n">
        <f aca="false">E22/$E$22</f>
        <v>1</v>
      </c>
      <c r="H22" s="74" t="n">
        <f aca="false">SUM(H8:H21)</f>
        <v>1290654.6442335</v>
      </c>
      <c r="I22" s="50" t="s">
        <v>157</v>
      </c>
      <c r="J22" s="50" t="n">
        <v>110000</v>
      </c>
      <c r="K22" s="50" t="n">
        <v>3</v>
      </c>
      <c r="L22" s="50" t="n">
        <f aca="false">J22*K22</f>
        <v>330000</v>
      </c>
      <c r="Q22" s="74" t="n">
        <f aca="false">SUM(Q8:Q21)</f>
        <v>258130.9288467</v>
      </c>
    </row>
    <row r="23" customFormat="false" ht="12.75" hidden="false" customHeight="false" outlineLevel="0" collapsed="false">
      <c r="I23" s="50" t="s">
        <v>158</v>
      </c>
      <c r="J23" s="50" t="n">
        <v>143000</v>
      </c>
      <c r="K23" s="50" t="n">
        <f aca="false">1-1</f>
        <v>0</v>
      </c>
      <c r="L23" s="50" t="n">
        <f aca="false">J23*K23</f>
        <v>0</v>
      </c>
    </row>
    <row r="24" customFormat="false" ht="12.75" hidden="false" customHeight="false" outlineLevel="0" collapsed="false">
      <c r="B24" s="73" t="s">
        <v>7</v>
      </c>
      <c r="C24" s="65"/>
      <c r="E24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4" s="77" t="n">
        <f aca="false">+K15+K16+K17+K18+K19+K22+K23+K24+K25+K26</f>
        <v>5</v>
      </c>
      <c r="I24" s="50" t="s">
        <v>159</v>
      </c>
      <c r="J24" s="50" t="n">
        <v>165000</v>
      </c>
      <c r="K24" s="50" t="n">
        <f aca="false">1-1</f>
        <v>0</v>
      </c>
      <c r="L24" s="50" t="n">
        <f aca="false">J24*K24</f>
        <v>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C25" s="65"/>
      <c r="E25" s="65"/>
      <c r="H25" s="65"/>
      <c r="I25" s="50" t="s">
        <v>160</v>
      </c>
      <c r="J25" s="50" t="n">
        <v>198000</v>
      </c>
      <c r="K25" s="50" t="n">
        <v>1</v>
      </c>
      <c r="L25" s="50" t="n">
        <f aca="false">J25*K25</f>
        <v>198000</v>
      </c>
      <c r="Q25" s="65"/>
    </row>
    <row r="26" customFormat="false" ht="12.75" hidden="false" customHeight="false" outlineLevel="0" collapsed="false">
      <c r="B26" s="73" t="s">
        <v>161</v>
      </c>
      <c r="C26" s="65"/>
      <c r="E26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6" s="77" t="n">
        <f aca="false">+K20+K21</f>
        <v>0</v>
      </c>
      <c r="I26" s="50" t="s">
        <v>162</v>
      </c>
      <c r="J26" s="50" t="n">
        <v>220000</v>
      </c>
      <c r="K26" s="50" t="n">
        <f aca="false">1-1</f>
        <v>0</v>
      </c>
      <c r="L26" s="50" t="n">
        <f aca="false">J26*K26</f>
        <v>0</v>
      </c>
      <c r="Q26" s="77" t="n">
        <f aca="false">+T20+T21</f>
        <v>0</v>
      </c>
    </row>
    <row r="27" customFormat="false" ht="12.75" hidden="false" customHeight="false" outlineLevel="0" collapsed="false">
      <c r="K27" s="50" t="n">
        <f aca="false">SUM(K15:K26)</f>
        <v>5</v>
      </c>
      <c r="L27" s="50" t="n">
        <f aca="false">SUM(L15:L26)*1.2</f>
        <v>719400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SUM(E24:E26)</f>
        <v>160</v>
      </c>
      <c r="G28" s="50"/>
      <c r="H28" s="77" t="n">
        <f aca="false">SUM(H24:H26)</f>
        <v>5</v>
      </c>
      <c r="L28" s="78" t="n">
        <v>0.2</v>
      </c>
      <c r="Q28" s="77" t="n">
        <v>1</v>
      </c>
    </row>
    <row r="29" customFormat="false" ht="12.75" hidden="true" customHeight="false" outlineLevel="0" collapsed="false">
      <c r="L29" s="50" t="n">
        <f aca="false">L27*1.2</f>
        <v>863280</v>
      </c>
    </row>
    <row r="30" customFormat="false" ht="12.75" hidden="true" customHeight="false" outlineLevel="0" collapsed="false">
      <c r="H30" s="17" t="s">
        <v>164</v>
      </c>
      <c r="L30" s="0"/>
    </row>
    <row r="31" customFormat="false" ht="12.75" hidden="true" customHeight="false" outlineLevel="0" collapsed="false">
      <c r="B31" s="64" t="s">
        <v>131</v>
      </c>
      <c r="C31" s="65" t="n">
        <v>254512</v>
      </c>
      <c r="L31" s="0"/>
    </row>
    <row r="32" customFormat="false" ht="12.75" hidden="true" customHeight="false" outlineLevel="0" collapsed="false">
      <c r="H32" s="79" t="s">
        <v>165</v>
      </c>
      <c r="I32" s="80" t="s">
        <v>166</v>
      </c>
      <c r="J32" s="80" t="s">
        <v>167</v>
      </c>
      <c r="K32" s="80" t="s">
        <v>110</v>
      </c>
      <c r="L32" s="80" t="s">
        <v>168</v>
      </c>
    </row>
    <row r="33" customFormat="false" ht="12.75" hidden="true" customHeight="false" outlineLevel="0" collapsed="false">
      <c r="H33" s="81" t="n">
        <f aca="false">SUM(E11:E21)</f>
        <v>7723229</v>
      </c>
      <c r="I33" s="80" t="n">
        <f aca="false">+E28</f>
        <v>160</v>
      </c>
      <c r="J33" s="80" t="n">
        <f aca="false">+H33/I33</f>
        <v>48270.18125</v>
      </c>
      <c r="K33" s="80" t="n">
        <f aca="false">+K10</f>
        <v>5</v>
      </c>
      <c r="L33" s="80" t="n">
        <f aca="false">+J33*K33</f>
        <v>241350.90625</v>
      </c>
    </row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252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1905755.25</v>
      </c>
      <c r="I8" s="88"/>
      <c r="L8" s="60"/>
      <c r="M8" s="27"/>
      <c r="Q8" s="65" t="n">
        <f aca="false">+H8/$H$28*$Q$28</f>
        <v>48865.5192307692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1552884.48</v>
      </c>
      <c r="I9" s="88"/>
      <c r="L9" s="60"/>
      <c r="M9" s="27"/>
      <c r="Q9" s="65" t="n">
        <f aca="false">+H9/$H$28*$Q$28</f>
        <v>39817.5507692308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535354.5036</v>
      </c>
      <c r="I10" s="88"/>
      <c r="L10" s="60"/>
      <c r="M10" s="27"/>
      <c r="Q10" s="65" t="n">
        <f aca="false">+H10/$H$28*$Q$28</f>
        <v>13727.0385538462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((173730+11460)*1.2)*0.917</f>
        <v>203783.076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5225.20707692308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71517.1968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1833.77427692308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79585.3296</v>
      </c>
      <c r="I14" s="27"/>
      <c r="M14" s="27"/>
      <c r="Q14" s="65" t="n">
        <f aca="false">+H14/$H$28*$Q$28</f>
        <v>2040.64947692308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378977.76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9717.37846153846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81209.52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2082.29538461538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((+([17]EOPs!H22)/170*$H$28)*1.2)*0.917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4809067.116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123309.413230769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39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v>39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105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437250.5424</v>
      </c>
      <c r="I8" s="88"/>
      <c r="L8" s="60"/>
      <c r="M8" s="27"/>
      <c r="Q8" s="65" t="n">
        <f aca="false">+H8/$H$28*$Q$28</f>
        <v>62464.3632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104931.9432</v>
      </c>
      <c r="I10" s="88"/>
      <c r="L10" s="60"/>
      <c r="M10" s="27"/>
      <c r="Q10" s="65" t="n">
        <f aca="false">+H10/$H$28*$Q$28</f>
        <v>14990.2776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v>13204.8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1886.4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11646.6336</v>
      </c>
      <c r="I14" s="27"/>
      <c r="M14" s="27"/>
      <c r="Q14" s="65" t="n">
        <f aca="false">+H14/$H$28*$Q$28</f>
        <v>1663.8048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55460.16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7922.88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11884.32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1697.76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((+([17]EOPs!H22)/170*$H$28)*1.2)*0.917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634378.3992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90625.4856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7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7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56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2293233.6</v>
      </c>
      <c r="I8" s="88"/>
      <c r="L8" s="60"/>
      <c r="M8" s="27"/>
      <c r="Q8" s="65" t="n">
        <f aca="false">+H8/$H$28*$Q$28</f>
        <v>71663.55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308094.3936</v>
      </c>
      <c r="I9" s="88"/>
      <c r="L9" s="60"/>
      <c r="M9" s="27"/>
      <c r="Q9" s="65" t="n">
        <f aca="false">+H9/$H$28*$Q$28</f>
        <v>9627.9498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553138.068</v>
      </c>
      <c r="I10" s="88"/>
      <c r="L10" s="60"/>
      <c r="M10" s="27"/>
      <c r="Q10" s="65" t="n">
        <f aca="false">+H10/$H$28*$Q$28</f>
        <v>17285.564625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((105350+28800)*1.2)*0.917</f>
        <v>147618.66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4613.083125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97108.0992</v>
      </c>
      <c r="I14" s="27"/>
      <c r="M14" s="27"/>
      <c r="Q14" s="65" t="n">
        <f aca="false">+H14/$H$28*$Q$28</f>
        <v>3034.6281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295787.52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9243.36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63383.04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1980.72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((+([17]EOPs!H22)/170*$H$28)*1.2)*0.917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3758363.3808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117448.85565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32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32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264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1279931.3604</v>
      </c>
      <c r="I8" s="88"/>
      <c r="L8" s="60"/>
      <c r="M8" s="27"/>
      <c r="Q8" s="65" t="n">
        <f aca="false">+H8/$H$28*$Q$28</f>
        <v>63996.56802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314745.2112</v>
      </c>
      <c r="I10" s="88"/>
      <c r="L10" s="60"/>
      <c r="M10" s="27"/>
      <c r="Q10" s="65" t="n">
        <f aca="false">+H10/$H$28*$Q$28</f>
        <v>15737.26056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((125350+34200)*1.2)*0.917</f>
        <v>175568.82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8778.441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67692.2064</v>
      </c>
      <c r="I14" s="27"/>
      <c r="M14" s="27"/>
      <c r="Q14" s="65" t="n">
        <f aca="false">+H14/$H$28*$Q$28</f>
        <v>3384.61032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175623.84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8781.192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37633.68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1881.684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(+([17]EOPs!H22)/170*$H$28)*0.917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2051195.118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102559.7559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20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20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9.7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172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  <c r="N5" s="84" t="s">
        <v>173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N6" s="61" t="s">
        <v>114</v>
      </c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N7" s="62" t="s">
        <v>118</v>
      </c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1507968</v>
      </c>
      <c r="N8" s="65" t="n">
        <f aca="false">H8/2*1.5+75670+10715</f>
        <v>86385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N9" s="65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420200</v>
      </c>
      <c r="I10" s="59"/>
      <c r="L10" s="60"/>
      <c r="N10" s="65" t="n">
        <v>420200</v>
      </c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84040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10</v>
      </c>
      <c r="L11" s="60" t="n">
        <f aca="false">J11*K11</f>
        <v>482701.8125</v>
      </c>
      <c r="N11" s="65" t="n">
        <f aca="false">H11/2*1.5+24992</f>
        <v>88022</v>
      </c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45000</v>
      </c>
      <c r="I12" s="59"/>
      <c r="L12" s="60"/>
      <c r="N12" s="65" t="n">
        <v>75000</v>
      </c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45000</v>
      </c>
      <c r="I13" s="68" t="s">
        <v>129</v>
      </c>
      <c r="J13" s="69"/>
      <c r="K13" s="69"/>
      <c r="L13" s="70" t="n">
        <f aca="false">L8+L11</f>
        <v>1990669.8125</v>
      </c>
      <c r="N13" s="65" t="n">
        <v>75000</v>
      </c>
      <c r="P13" s="71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N14" s="65" t="n">
        <v>0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30000</v>
      </c>
      <c r="N15" s="65" t="n">
        <v>50000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65" t="n"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354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65" t="n">
        <v>590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N18" s="65" t="n"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60000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N19" s="65" t="n">
        <v>100000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1.2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N20" s="65" t="n">
        <v>2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9000</v>
      </c>
      <c r="I21" s="50" t="s">
        <v>151</v>
      </c>
      <c r="J21" s="50" t="n">
        <v>60500</v>
      </c>
      <c r="K21" s="50" t="n">
        <v>4</v>
      </c>
      <c r="L21" s="50" t="n">
        <f aca="false">J21*K21</f>
        <v>242000</v>
      </c>
      <c r="N21" s="65" t="n">
        <v>15000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2</v>
      </c>
      <c r="L22" s="50" t="n">
        <f aca="false">J22*K22</f>
        <v>178200</v>
      </c>
      <c r="N22" s="65" t="n">
        <v>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693595.2</v>
      </c>
      <c r="I23" s="50" t="s">
        <v>157</v>
      </c>
      <c r="J23" s="50" t="n">
        <v>110000</v>
      </c>
      <c r="K23" s="50" t="n">
        <v>0</v>
      </c>
      <c r="L23" s="50" t="n">
        <f aca="false">J23*K23</f>
        <v>0</v>
      </c>
      <c r="N23" s="74" t="n">
        <f aca="false">SUM(N8:N22)</f>
        <v>910199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3</f>
        <v>3</v>
      </c>
      <c r="L24" s="50" t="n">
        <f aca="false">J24*K24</f>
        <v>429000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6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10</v>
      </c>
      <c r="L28" s="50" t="n">
        <f aca="false">SUM(L16:L27)*1.2</f>
        <v>1256640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6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1507968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265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1026537.8508</v>
      </c>
      <c r="I8" s="88"/>
      <c r="L8" s="60"/>
      <c r="M8" s="27"/>
      <c r="Q8" s="65" t="n">
        <f aca="false">+H8/$H$28*$Q$28</f>
        <v>93321.6228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235328.2428</v>
      </c>
      <c r="I10" s="88"/>
      <c r="L10" s="60"/>
      <c r="M10" s="27"/>
      <c r="Q10" s="65" t="n">
        <f aca="false">+H10/$H$28*$Q$28</f>
        <v>21393.4766181818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((48400+3000)*1.2)*0.917</f>
        <v>56560.56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5141.86909090909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13323.6432</v>
      </c>
      <c r="I14" s="27"/>
      <c r="M14" s="27"/>
      <c r="Q14" s="65" t="n">
        <f aca="false">+H14/$H$28*$Q$28</f>
        <v>1211.24029090909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110920.32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10083.6654545455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23768.64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2160.78545454545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(+([17]EOPs!H22)/170*$H$28)*0.917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1466439.2568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133312.659709091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11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11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64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f aca="false">((418777+323455)*1.2)*0.917</f>
        <v>816752.0928</v>
      </c>
      <c r="I8" s="88"/>
      <c r="L8" s="60"/>
      <c r="M8" s="27"/>
      <c r="Q8" s="65" t="n">
        <f aca="false">+H8/$H$28*$Q$28</f>
        <v>62827.0840615385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f aca="false">((94145+78179)*1.2)*0.917</f>
        <v>189625.3296</v>
      </c>
      <c r="I10" s="88"/>
      <c r="L10" s="60"/>
      <c r="M10" s="27"/>
      <c r="Q10" s="65" t="n">
        <f aca="false">+H10/$H$28*$Q$28</f>
        <v>14586.5638153846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((23400+2000)*1.2)*0.917</f>
        <v>27950.16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2150.01230769231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f aca="false">((5220+8820)*1.2)*0.917</f>
        <v>15449.616</v>
      </c>
      <c r="I14" s="27"/>
      <c r="M14" s="27"/>
      <c r="Q14" s="65" t="n">
        <f aca="false">+H14/$H$28*$Q$28</f>
        <v>1188.432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f aca="false">((42000+42000)*1.2)*0.917</f>
        <v>92433.6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7110.27692307692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f aca="false">((9000+9000)*1.2)*0.917</f>
        <v>19807.2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1523.63076923077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(+([17]EOPs!H21)/170*$H$28)*0.917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(+([17]EOPs!H22)/170*$H$28)*0.917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1162017.9984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89385.9998769231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13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13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106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f aca="false">((((2084000/32)*13)*1.2))*0.917</f>
        <v>931626.15</v>
      </c>
      <c r="I8" s="88"/>
      <c r="L8" s="60"/>
      <c r="M8" s="27"/>
      <c r="Q8" s="65" t="n">
        <f aca="false">+H8/$H$28*$Q$28</f>
        <v>66544.725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f aca="false">(((94274)*1.2))*0.917</f>
        <v>103739.1096</v>
      </c>
      <c r="I9" s="88"/>
      <c r="L9" s="60"/>
      <c r="M9" s="27"/>
      <c r="Q9" s="65" t="n">
        <f aca="false">+H9/$H$28*$Q$28</f>
        <v>7409.9364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f aca="false">((((H8+H9)*0.2)*1.2))*0.917</f>
        <v>227863.186332768</v>
      </c>
      <c r="I10" s="88"/>
      <c r="L10" s="60"/>
      <c r="M10" s="27"/>
      <c r="Q10" s="65" t="n">
        <f aca="false">+H10/$H$28*$Q$28</f>
        <v>16275.941880912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((((((105350+28800)/32)*14)/2)*1.2))*0.917</f>
        <v>32291.581875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2306.5415625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38749.4856</v>
      </c>
      <c r="I12" s="88"/>
      <c r="L12" s="60"/>
      <c r="M12" s="27"/>
      <c r="Q12" s="65" t="n">
        <f aca="false">+H12/$H$28*$Q$28</f>
        <v>2767.8204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f aca="false">((((88248/32)*14)*1.2))*0.917</f>
        <v>42484.7934</v>
      </c>
      <c r="I14" s="27"/>
      <c r="M14" s="27"/>
      <c r="Q14" s="65" t="n">
        <f aca="false">+H14/$H$28*$Q$28</f>
        <v>3034.6281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f aca="false">((((268800/32)*14)*1.2))*0.917</f>
        <v>129407.04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9243.36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f aca="false">((((57600/32)*14)*1.2))*0.917</f>
        <v>27730.08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1980.72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1533891.42680777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109563.673343412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13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1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14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266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642322.1868</v>
      </c>
      <c r="I8" s="88"/>
      <c r="L8" s="60"/>
      <c r="M8" s="27"/>
      <c r="Q8" s="65" t="n">
        <f aca="false">+H8/$H$28*$Q$28</f>
        <v>80290.27335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160408.6092</v>
      </c>
      <c r="I10" s="88"/>
      <c r="L10" s="60"/>
      <c r="M10" s="27"/>
      <c r="Q10" s="65" t="n">
        <f aca="false">+H10/$H$28*$Q$28</f>
        <v>20051.07615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v>14305.2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1788.15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19741.176</v>
      </c>
      <c r="I14" s="27"/>
      <c r="M14" s="27"/>
      <c r="Q14" s="65" t="n">
        <f aca="false">+H14/$H$28*$Q$28</f>
        <v>2467.647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92433.6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11554.2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19807.2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2475.9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(+([17]EOPs!H22)/170*$H$28)*0.917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949017.972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118627.2465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8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8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62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f aca="false">((791500+702603+588002+281684)*1.2)*0.917</f>
        <v>2601113.4156</v>
      </c>
      <c r="I8" s="88"/>
      <c r="L8" s="60"/>
      <c r="M8" s="27"/>
      <c r="Q8" s="65" t="n">
        <f aca="false">+H8/$H$28*$Q$28</f>
        <v>72253.1504333333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110078.514</v>
      </c>
      <c r="I9" s="88"/>
      <c r="L9" s="60"/>
      <c r="M9" s="27"/>
      <c r="Q9" s="65" t="n">
        <f aca="false">+H9/$H$28*$Q$28</f>
        <v>3057.7365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f aca="false">((199776+170486+141690+71182)*1.2)*0.917</f>
        <v>641680.6536</v>
      </c>
      <c r="I10" s="88"/>
      <c r="L10" s="60"/>
      <c r="M10" s="27"/>
      <c r="Q10" s="65" t="n">
        <f aca="false">+H10/$H$28*$Q$28</f>
        <v>17824.4626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((33285+5700+12700+38150+600+20150)*1.2)*0.917</f>
        <v>121687.734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3380.21483333333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0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f aca="false">((25896+19404+17076+10020)*1.2)*0.917</f>
        <v>79664.5584</v>
      </c>
      <c r="I14" s="27"/>
      <c r="M14" s="27"/>
      <c r="Q14" s="65" t="n">
        <f aca="false">+H14/$H$28*$Q$28</f>
        <v>2212.9044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((+([17]EOPs!H16)/170*$H$28)*1.2)*0.917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((+([17]EOPs!H17)/170*$H$28)*1.2)*0.917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f aca="false">((117600+92400+75600+42000)*1.2)*0.917</f>
        <v>360491.04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10013.64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f aca="false">((24200+19800+16200+9000)*1.2)*0.917</f>
        <v>76147.68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2115.21333333333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((+([17]EOPs!H20)/170*$H$28)*1.2)*0.917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((+([17]EOPs!H21)/170*$H$28)*1.2)*0.917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(+([17]EOPs!H22)/170*$H$28)*0.917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3990863.5956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110857.3221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36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36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63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v>282857.82</v>
      </c>
      <c r="I8" s="88"/>
      <c r="L8" s="60"/>
      <c r="M8" s="27"/>
      <c r="Q8" s="65" t="n">
        <f aca="false">+H8/$H$28*$Q$28</f>
        <v>70714.455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v>0</v>
      </c>
      <c r="I9" s="88"/>
      <c r="L9" s="60"/>
      <c r="M9" s="27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((C10/9)*12)*1.3</f>
        <v>2097820.59066667</v>
      </c>
      <c r="H10" s="65" t="n">
        <v>63556.9032</v>
      </c>
      <c r="I10" s="88"/>
      <c r="L10" s="60"/>
      <c r="M10" s="27"/>
      <c r="Q10" s="65" t="n">
        <f aca="false">+H10/$H$28*$Q$28</f>
        <v>15889.2258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((C11/9)*12)*1.3</f>
        <v>329385.281333333</v>
      </c>
      <c r="H11" s="65" t="n">
        <f aca="false">((24200+4000)*1.2)*0.917</f>
        <v>31031.28</v>
      </c>
      <c r="I11" s="88" t="s">
        <v>83</v>
      </c>
      <c r="J11" s="50" t="n">
        <f aca="false">(E11+E12+E13+E14+E15+E16+E17+E18+E19+E20+E21)/E28</f>
        <v>72139.8418870057</v>
      </c>
      <c r="K11" s="50" t="n">
        <f aca="false">K28</f>
        <v>184</v>
      </c>
      <c r="L11" s="60" t="n">
        <f aca="false">J11*K11</f>
        <v>13273730.907209</v>
      </c>
      <c r="M11" s="27"/>
      <c r="Q11" s="65" t="n">
        <f aca="false">+H11/$H$28*$Q$28</f>
        <v>7757.82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((C12/9)*12)*1.3</f>
        <v>135877.005333333</v>
      </c>
      <c r="H12" s="65" t="n">
        <v>0</v>
      </c>
      <c r="I12" s="88"/>
      <c r="L12" s="60"/>
      <c r="M12" s="27"/>
      <c r="Q12" s="65" t="n">
        <f aca="false">+H12/$H$28*$Q$28</f>
        <v>0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(4000000*1.2)+222800</f>
        <v>5022800</v>
      </c>
      <c r="H13" s="65" t="n">
        <v>237686.4</v>
      </c>
      <c r="I13" s="93" t="s">
        <v>129</v>
      </c>
      <c r="J13" s="69"/>
      <c r="K13" s="69"/>
      <c r="L13" s="70" t="n">
        <f aca="false">SUM(L9:L11)</f>
        <v>13273730.907209</v>
      </c>
      <c r="M13" s="27"/>
      <c r="N13" s="0" t="n">
        <v>36500125</v>
      </c>
      <c r="P13" s="71" t="n">
        <f aca="false">N13-L13</f>
        <v>23226394.092791</v>
      </c>
      <c r="Q13" s="65" t="n">
        <f aca="false">+H13/$H$28*$Q$28</f>
        <v>59421.6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2087875*1.3</f>
        <v>2714237.5</v>
      </c>
      <c r="H14" s="65" t="n">
        <v>4661.2944</v>
      </c>
      <c r="I14" s="27"/>
      <c r="M14" s="27"/>
      <c r="Q14" s="65" t="n">
        <f aca="false">+H14/$H$28*$Q$28</f>
        <v>1165.3236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H15" s="65" t="n">
        <f aca="false">((+([18]EOPs!H16)/170*$H$28)*1.2)*0.917</f>
        <v>0</v>
      </c>
      <c r="I15" s="27"/>
      <c r="M15" s="27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H16" s="65" t="n">
        <f aca="false">((+([18]EOPs!H17)/170*$H$28)*1.2)*0.917</f>
        <v>0</v>
      </c>
      <c r="I16" s="27" t="s">
        <v>193</v>
      </c>
      <c r="J16" s="50" t="n">
        <v>37500</v>
      </c>
      <c r="K16" s="0" t="n">
        <f aca="false">1+1</f>
        <v>2</v>
      </c>
      <c r="L16" s="50" t="n">
        <f aca="false">J16*K16</f>
        <v>75000</v>
      </c>
      <c r="N16" s="0" t="n">
        <v>1.25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((C17/9)*12)*1.3</f>
        <v>33002.0946666667</v>
      </c>
      <c r="H17" s="65" t="n">
        <v>36973.44</v>
      </c>
      <c r="I17" s="0" t="s">
        <v>255</v>
      </c>
      <c r="J17" s="50" t="n">
        <v>52500</v>
      </c>
      <c r="K17" s="0" t="n">
        <f aca="false">1+2+1+1</f>
        <v>5</v>
      </c>
      <c r="L17" s="50" t="n">
        <f aca="false">J17*K17</f>
        <v>262500</v>
      </c>
      <c r="Q17" s="65" t="n">
        <f aca="false">+H17/$H$28*$Q$28</f>
        <v>9243.36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v>145000</v>
      </c>
      <c r="H18" s="65" t="n">
        <v>7922.88</v>
      </c>
      <c r="I18" s="0" t="s">
        <v>142</v>
      </c>
      <c r="J18" s="50" t="n">
        <v>56250</v>
      </c>
      <c r="K18" s="0" t="n">
        <f aca="false">7+2+1+1+4+2</f>
        <v>17</v>
      </c>
      <c r="L18" s="50" t="n">
        <f aca="false">J18*K18</f>
        <v>956250</v>
      </c>
      <c r="Q18" s="65" t="n">
        <f aca="false">+H18/$H$28*$Q$28</f>
        <v>1980.72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H19" s="65" t="n">
        <f aca="false">((+([18]EOPs!H20)/170*$H$28)*1.2)*0.917</f>
        <v>0</v>
      </c>
      <c r="I19" s="0" t="s">
        <v>154</v>
      </c>
      <c r="J19" s="50" t="n">
        <v>75000</v>
      </c>
      <c r="K19" s="0" t="n">
        <f aca="false">3+1</f>
        <v>4</v>
      </c>
      <c r="L19" s="50" t="n">
        <f aca="false">J19*K19</f>
        <v>300000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((C20/9)*12)*1.3</f>
        <v>130073.978666667</v>
      </c>
      <c r="H20" s="65" t="n">
        <f aca="false">((+([18]EOPs!H21)/170*$H$28)*1.2)*0.917</f>
        <v>0</v>
      </c>
      <c r="I20" s="0" t="s">
        <v>256</v>
      </c>
      <c r="J20" s="50" t="n">
        <v>60000</v>
      </c>
      <c r="K20" s="0" t="n">
        <f aca="false">2+12+1</f>
        <v>15</v>
      </c>
      <c r="L20" s="50" t="n">
        <f aca="false">J20*K20</f>
        <v>900000</v>
      </c>
      <c r="Q20" s="65" t="n">
        <f aca="false">+H20/$H$28*$Q$28</f>
        <v>0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((C21/9)*12)*1.3</f>
        <v>2125.48266666667</v>
      </c>
      <c r="H21" s="65" t="n">
        <f aca="false">((+([18]EOPs!H22)/170*$H$28)*1.2)*0.917</f>
        <v>0</v>
      </c>
      <c r="I21" s="0" t="s">
        <v>145</v>
      </c>
      <c r="J21" s="50" t="n">
        <v>65000</v>
      </c>
      <c r="K21" s="0" t="n">
        <f aca="false">8+4+5+10+9+2+2+4+4+1</f>
        <v>49</v>
      </c>
      <c r="L21" s="50" t="n">
        <f aca="false">J21*K21</f>
        <v>3185000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19251859.132</v>
      </c>
      <c r="H22" s="74" t="n">
        <f aca="false">SUM(H8:H21)</f>
        <v>664690.0176</v>
      </c>
      <c r="I22" s="0" t="s">
        <v>257</v>
      </c>
      <c r="J22" s="50" t="n">
        <v>82500</v>
      </c>
      <c r="K22" s="0" t="n">
        <f aca="false">10+1+13+6+6+3+7+1+2+6</f>
        <v>55</v>
      </c>
      <c r="L22" s="50" t="n">
        <f aca="false">J22*K22</f>
        <v>4537500</v>
      </c>
      <c r="Q22" s="74" t="n">
        <f aca="false">SUM(Q8:Q21)</f>
        <v>166172.5044</v>
      </c>
    </row>
    <row r="23" customFormat="false" ht="12.75" hidden="false" customHeight="false" outlineLevel="0" collapsed="false">
      <c r="I23" s="0" t="s">
        <v>258</v>
      </c>
      <c r="J23" s="50" t="n">
        <v>100000</v>
      </c>
      <c r="K23" s="0" t="n">
        <f aca="false">2+1+8+6+3+1+4</f>
        <v>25</v>
      </c>
      <c r="L23" s="50" t="n">
        <f aca="false">J23*K23</f>
        <v>2500000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H24" s="109" t="n">
        <v>4</v>
      </c>
      <c r="I24" s="0" t="s">
        <v>259</v>
      </c>
      <c r="J24" s="50" t="n">
        <v>145000</v>
      </c>
      <c r="K24" s="0" t="n">
        <f aca="false">1+1+1+1+2+1+2</f>
        <v>9</v>
      </c>
      <c r="L24" s="50" t="n">
        <f aca="false">J24*K24</f>
        <v>1305000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I25" s="0" t="s">
        <v>260</v>
      </c>
      <c r="J25" s="50" t="n">
        <v>175000</v>
      </c>
      <c r="K25" s="0" t="n">
        <f aca="false">1+1</f>
        <v>2</v>
      </c>
      <c r="L25" s="50" t="n">
        <f aca="false">J25*K25</f>
        <v>350000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H26" s="109" t="n">
        <v>0</v>
      </c>
      <c r="I26" s="0" t="s">
        <v>261</v>
      </c>
      <c r="J26" s="50" t="n">
        <v>237500</v>
      </c>
      <c r="K26" s="0" t="n">
        <f aca="false">1</f>
        <v>1</v>
      </c>
      <c r="L26" s="50" t="n">
        <f aca="false">J26*K26</f>
        <v>237500</v>
      </c>
      <c r="Q26" s="77" t="n">
        <f aca="false">+T20+T21</f>
        <v>0</v>
      </c>
    </row>
    <row r="27" customFormat="false" ht="12.75" hidden="false" customHeight="false" outlineLevel="0" collapsed="false">
      <c r="I27" s="0" t="s">
        <v>262</v>
      </c>
      <c r="J27" s="50" t="n">
        <v>312500</v>
      </c>
      <c r="K27" s="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H28" s="109" t="n">
        <f aca="false">SUM(H24:H27)</f>
        <v>4</v>
      </c>
      <c r="K28" s="50" t="n">
        <f aca="false">SUM(K16:K27)</f>
        <v>184</v>
      </c>
      <c r="L28" s="50" t="n">
        <f aca="false">SUM(L16:L27)</f>
        <v>14608750</v>
      </c>
      <c r="Q28" s="77" t="n">
        <v>1</v>
      </c>
    </row>
    <row r="29" customFormat="false" ht="12.75" hidden="tru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L32" s="50" t="n">
        <f aca="false">L28*1.2</f>
        <v>17530500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H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/>
      <c r="B38" s="64"/>
      <c r="C38" s="65"/>
      <c r="E38" s="65"/>
      <c r="H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6380656.07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51" t="str">
        <f aca="false">'[19]Team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267</v>
      </c>
      <c r="C2" s="51"/>
      <c r="D2" s="51"/>
      <c r="E2" s="51"/>
      <c r="F2" s="51"/>
      <c r="G2" s="51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J6" s="88"/>
      <c r="K6" s="80" t="s">
        <v>109</v>
      </c>
      <c r="L6" s="80" t="s">
        <v>110</v>
      </c>
      <c r="M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'[19]Team Report'!BA25</f>
        <v>10228335.79</v>
      </c>
      <c r="E8" s="65" t="n">
        <f aca="false">+C8/9*12</f>
        <v>13637781.0533333</v>
      </c>
      <c r="F8" s="65"/>
      <c r="G8" s="65" t="n">
        <f aca="false">((SUM(M16:M27)+348000)*1.2)*0.917</f>
        <v>18247713.12</v>
      </c>
      <c r="J8" s="88"/>
      <c r="M8" s="60"/>
      <c r="O8" s="65" t="n">
        <f aca="false">+G8/$G$28*$O$28</f>
        <v>129416.405106383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+C9/9*12</f>
        <v>0</v>
      </c>
      <c r="F9" s="65"/>
      <c r="G9" s="65" t="n">
        <f aca="false">((+E9/9*12)*1.2)*0.917</f>
        <v>0</v>
      </c>
      <c r="J9" s="88"/>
      <c r="M9" s="60"/>
      <c r="O9" s="65" t="n">
        <f aca="false">+G9/$G$28*$O$28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'[19]Team Report'!BA26</f>
        <v>1877442.13</v>
      </c>
      <c r="E10" s="65" t="n">
        <f aca="false">+C10/9*12</f>
        <v>2503256.17333333</v>
      </c>
      <c r="F10" s="65"/>
      <c r="G10" s="65" t="n">
        <f aca="false">((+G8*0.2)*1.2)*0.917</f>
        <v>4015956.7034496</v>
      </c>
      <c r="J10" s="88"/>
      <c r="M10" s="60"/>
      <c r="O10" s="65" t="n">
        <f aca="false">+G10/$G$28*$O$28</f>
        <v>28481.9624358128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'[19]Team Report'!BA27</f>
        <v>405632.98</v>
      </c>
      <c r="E11" s="65" t="n">
        <f aca="false">+C11/9*12</f>
        <v>540843.973333333</v>
      </c>
      <c r="F11" s="65"/>
      <c r="G11" s="65" t="n">
        <f aca="false">((+'[14]IT Dev'!G12+'[14]IT EOL'!G12)*1.2)*0.917</f>
        <v>2425657.9368</v>
      </c>
      <c r="J11" s="88" t="s">
        <v>83</v>
      </c>
      <c r="K11" s="50" t="n">
        <f aca="false">18495*1.2</f>
        <v>22194</v>
      </c>
      <c r="L11" s="50" t="n">
        <f aca="false">+L34</f>
        <v>140</v>
      </c>
      <c r="M11" s="60" t="n">
        <f aca="false">K11*L11</f>
        <v>3107160</v>
      </c>
      <c r="O11" s="65" t="n">
        <f aca="false">+G11/$G$28*$O$28</f>
        <v>17203.2477787234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'[19]Team Report'!BA28</f>
        <v>648740.17</v>
      </c>
      <c r="E12" s="65" t="n">
        <f aca="false">+C12/9*12</f>
        <v>864986.893333333</v>
      </c>
      <c r="F12" s="65"/>
      <c r="G12" s="65" t="n">
        <f aca="false">((+'[14]IT Dev'!G13+'[14]IT EOL'!G13)*1.2)*0.917</f>
        <v>1316362.127136</v>
      </c>
      <c r="J12" s="88"/>
      <c r="M12" s="60"/>
      <c r="O12" s="65" t="n">
        <f aca="false">+G12/$G$28*$O$28</f>
        <v>9335.90161089362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+C13/9*12</f>
        <v>0</v>
      </c>
      <c r="F13" s="65"/>
      <c r="G13" s="65" t="n">
        <f aca="false">((+'[14]IT Dev'!G14+'[14]IT EOL'!G14)*1.2)*0.917</f>
        <v>0</v>
      </c>
      <c r="J13" s="93" t="s">
        <v>129</v>
      </c>
      <c r="K13" s="69"/>
      <c r="L13" s="69"/>
      <c r="M13" s="70" t="n">
        <f aca="false">SUM(M9:M11)</f>
        <v>3107160</v>
      </c>
      <c r="O13" s="65" t="n">
        <f aca="false">+G13/$G$28*$O$28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'[19]Team Report'!BA33</f>
        <v>76876.32</v>
      </c>
      <c r="E14" s="65" t="n">
        <f aca="false">+C14/9*12</f>
        <v>102501.76</v>
      </c>
      <c r="F14" s="65"/>
      <c r="G14" s="65" t="n">
        <f aca="false">((+'[14]IT Dev'!G15+'[14]IT EOL'!G15)*1.2)*0.917</f>
        <v>545126.539776</v>
      </c>
      <c r="J14" s="27"/>
      <c r="O14" s="65" t="n">
        <f aca="false">+G14/$G$28*$O$28</f>
        <v>3866.14567217021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'[19]Team Report'!BA34</f>
        <v>0</v>
      </c>
      <c r="E15" s="65" t="n">
        <f aca="false">+C15/9*12</f>
        <v>0</v>
      </c>
      <c r="F15" s="65"/>
      <c r="G15" s="65" t="n">
        <f aca="false">((+'[14]IT Dev'!G16+'[14]IT EOL'!G16)*1.2)*0.917</f>
        <v>0</v>
      </c>
      <c r="J15" s="27"/>
      <c r="L15" s="108"/>
      <c r="O15" s="65" t="n">
        <f aca="false">+G15/$G$28*$O$28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'[19]Team Report'!BA35</f>
        <v>0</v>
      </c>
      <c r="E16" s="65" t="n">
        <f aca="false">+C16/9*12</f>
        <v>0</v>
      </c>
      <c r="F16" s="65"/>
      <c r="G16" s="65" t="n">
        <f aca="false">((+'[14]IT Dev'!G17+'[14]IT EOL'!G17)*1.2)*0.917</f>
        <v>0</v>
      </c>
      <c r="J16" s="0" t="s">
        <v>193</v>
      </c>
      <c r="K16" s="50" t="n">
        <v>49200</v>
      </c>
      <c r="L16" s="50" t="n">
        <f aca="false">+'[14]IT Dev'!L17+'[14]IT EOL'!L17</f>
        <v>0</v>
      </c>
      <c r="M16" s="50" t="n">
        <f aca="false">K16*L16</f>
        <v>0</v>
      </c>
      <c r="O16" s="65" t="n">
        <f aca="false">+G16/$G$28*$O$28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'[19]Team Report'!BA36</f>
        <v>5744.1</v>
      </c>
      <c r="E17" s="65" t="n">
        <f aca="false">+C17/9*12</f>
        <v>7658.8</v>
      </c>
      <c r="F17" s="65"/>
      <c r="G17" s="65" t="n">
        <f aca="false">((+'[14]IT Dev'!G18+'[14]IT EOL'!G18)*1.2)*0.917</f>
        <v>0</v>
      </c>
      <c r="J17" s="0" t="s">
        <v>139</v>
      </c>
      <c r="K17" s="50" t="n">
        <v>57600</v>
      </c>
      <c r="L17" s="50" t="n">
        <v>3</v>
      </c>
      <c r="M17" s="50" t="n">
        <f aca="false">K17*L17</f>
        <v>172800</v>
      </c>
      <c r="O17" s="65" t="n">
        <f aca="false">+G17/$G$28*$O$28</f>
        <v>0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'[19]Team Report'!BA37</f>
        <v>67058.6</v>
      </c>
      <c r="E18" s="65" t="n">
        <f aca="false">+C18/9*12</f>
        <v>89411.4666666667</v>
      </c>
      <c r="F18" s="65"/>
      <c r="G18" s="65" t="n">
        <f aca="false">((+'[14]IT Dev'!G19+'[14]IT EOL'!G19+2775700)*1.2)*0.917</f>
        <v>6163340.311968</v>
      </c>
      <c r="J18" s="0" t="s">
        <v>142</v>
      </c>
      <c r="K18" s="50" t="n">
        <v>60000</v>
      </c>
      <c r="L18" s="50" t="n">
        <v>1</v>
      </c>
      <c r="M18" s="50" t="n">
        <f aca="false">K18*L18</f>
        <v>60000</v>
      </c>
      <c r="O18" s="65" t="n">
        <f aca="false">+G18/$G$28*$O$28</f>
        <v>43711.6334182128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'[19]Team Report'!BA38</f>
        <v>0</v>
      </c>
      <c r="E19" s="65" t="n">
        <f aca="false">+C19/9*12</f>
        <v>0</v>
      </c>
      <c r="F19" s="65"/>
      <c r="G19" s="65" t="n">
        <f aca="false">((+'[14]IT Dev'!G20+'[14]IT EOL'!G20)*1.2)*0.917</f>
        <v>0</v>
      </c>
      <c r="J19" s="0" t="s">
        <v>145</v>
      </c>
      <c r="K19" s="50" t="n">
        <v>78000</v>
      </c>
      <c r="L19" s="50" t="n">
        <f aca="false">27+1</f>
        <v>28</v>
      </c>
      <c r="M19" s="50" t="n">
        <f aca="false">K19*L19</f>
        <v>2184000</v>
      </c>
      <c r="O19" s="65" t="n">
        <f aca="false">+G19/$G$28*$O$28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'[19]Team Report'!BA42</f>
        <v>842429.76</v>
      </c>
      <c r="E20" s="65" t="n">
        <f aca="false">+C20/9*12</f>
        <v>1123239.68</v>
      </c>
      <c r="F20" s="65"/>
      <c r="G20" s="65" t="n">
        <f aca="false">((+'[14]IT Dev'!G21+'[14]IT EOL'!G21-7942105)*1.2)*0.917</f>
        <v>2031308.02896</v>
      </c>
      <c r="J20" s="0" t="s">
        <v>148</v>
      </c>
      <c r="K20" s="50" t="n">
        <v>102000</v>
      </c>
      <c r="L20" s="50" t="n">
        <v>62</v>
      </c>
      <c r="M20" s="50" t="n">
        <f aca="false">K20*L20</f>
        <v>6324000</v>
      </c>
      <c r="O20" s="65" t="n">
        <f aca="false">+G20/$G$28*$O$28</f>
        <v>14406.4399217021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'[19]Team Report'!BA44</f>
        <v>6453.7</v>
      </c>
      <c r="E21" s="65" t="n">
        <f aca="false">+C21/9*12</f>
        <v>8604.93333333333</v>
      </c>
      <c r="F21" s="65"/>
      <c r="G21" s="65" t="n">
        <f aca="false">((+'[14]IT Dev'!G22+'[14]IT EOL'!G22)*1.2)*0.917</f>
        <v>0</v>
      </c>
      <c r="J21" s="0" t="s">
        <v>268</v>
      </c>
      <c r="K21" s="50" t="n">
        <v>192000</v>
      </c>
      <c r="L21" s="50" t="n">
        <v>0</v>
      </c>
      <c r="M21" s="50" t="n">
        <f aca="false">K21*L21</f>
        <v>0</v>
      </c>
      <c r="O21" s="65" t="n">
        <f aca="false">+G21/$G$28*$O$28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14158713.55</v>
      </c>
      <c r="E22" s="74" t="n">
        <f aca="false">SUM(E8:E21)</f>
        <v>18878284.7333333</v>
      </c>
      <c r="F22" s="76"/>
      <c r="G22" s="74" t="n">
        <f aca="false">SUM(G8:G21)</f>
        <v>34745464.7680896</v>
      </c>
      <c r="J22" s="0" t="s">
        <v>269</v>
      </c>
      <c r="K22" s="50" t="n">
        <v>192000</v>
      </c>
      <c r="L22" s="50" t="n">
        <v>0</v>
      </c>
      <c r="M22" s="50" t="n">
        <f aca="false">K22*L22</f>
        <v>0</v>
      </c>
      <c r="O22" s="74" t="n">
        <f aca="false">SUM(O8:O21)</f>
        <v>246421.735943898</v>
      </c>
    </row>
    <row r="23" customFormat="false" ht="12.75" hidden="false" customHeight="false" outlineLevel="0" collapsed="false">
      <c r="J23" s="0" t="s">
        <v>157</v>
      </c>
      <c r="K23" s="50" t="n">
        <v>144000</v>
      </c>
      <c r="L23" s="50" t="n">
        <v>28</v>
      </c>
      <c r="M23" s="50" t="n">
        <f aca="false">K23*L23</f>
        <v>4032000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111</v>
      </c>
      <c r="F24" s="3" t="n">
        <v>40</v>
      </c>
      <c r="G24" s="110" t="n">
        <v>141</v>
      </c>
      <c r="J24" s="0" t="s">
        <v>158</v>
      </c>
      <c r="K24" s="50" t="n">
        <v>168000</v>
      </c>
      <c r="L24" s="50" t="n">
        <v>9</v>
      </c>
      <c r="M24" s="50" t="n">
        <f aca="false">K24*L24</f>
        <v>1512000</v>
      </c>
      <c r="O24" s="77" t="n">
        <f aca="false">SUM(U15:U19,U22:U26)</f>
        <v>0</v>
      </c>
    </row>
    <row r="25" customFormat="false" ht="12.75" hidden="false" customHeight="false" outlineLevel="0" collapsed="false">
      <c r="J25" s="0" t="s">
        <v>159</v>
      </c>
      <c r="K25" s="50" t="n">
        <v>216000</v>
      </c>
      <c r="L25" s="50" t="n">
        <v>8</v>
      </c>
      <c r="M25" s="50" t="n">
        <f aca="false">K25*L25</f>
        <v>1728000</v>
      </c>
      <c r="O25" s="65"/>
    </row>
    <row r="26" customFormat="false" ht="12.75" hidden="false" customHeight="false" outlineLevel="0" collapsed="false">
      <c r="B26" s="73" t="s">
        <v>161</v>
      </c>
      <c r="C26" s="109"/>
      <c r="E26" s="109"/>
      <c r="F26" s="3"/>
      <c r="G26" s="109"/>
      <c r="J26" s="0" t="s">
        <v>160</v>
      </c>
      <c r="K26" s="50" t="n">
        <v>222000</v>
      </c>
      <c r="L26" s="50" t="n">
        <v>1</v>
      </c>
      <c r="M26" s="50" t="n">
        <f aca="false">K26*L26</f>
        <v>222000</v>
      </c>
      <c r="O26" s="77" t="n">
        <f aca="false">+U20+U21</f>
        <v>0</v>
      </c>
    </row>
    <row r="27" customFormat="false" ht="12.75" hidden="false" customHeight="false" outlineLevel="0" collapsed="false">
      <c r="J27" s="0" t="s">
        <v>162</v>
      </c>
      <c r="K27" s="50" t="n">
        <v>300000</v>
      </c>
      <c r="L27" s="50" t="n">
        <f aca="false">+'[14]IT Dev'!L28+'[14]IT EOL'!L28</f>
        <v>0</v>
      </c>
      <c r="M27" s="50" t="n">
        <f aca="false">K27*L27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111</v>
      </c>
      <c r="F28" s="3"/>
      <c r="G28" s="109" t="n">
        <f aca="false">SUM(G24:G27)</f>
        <v>141</v>
      </c>
      <c r="L28" s="50" t="n">
        <f aca="false">SUM(L16:L27)</f>
        <v>140</v>
      </c>
      <c r="M28" s="50" t="n">
        <f aca="false">SUM(M16:M27)</f>
        <v>16234800</v>
      </c>
      <c r="O28" s="77" t="n">
        <v>1</v>
      </c>
    </row>
    <row r="29" customFormat="false" ht="12.75" hidden="fals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'[19]Team Report'!BA29</f>
        <v>-24140467.68</v>
      </c>
      <c r="E30" s="65" t="n">
        <v>0</v>
      </c>
      <c r="F30" s="65"/>
      <c r="J30" s="0" t="s">
        <v>249</v>
      </c>
      <c r="L30" s="78"/>
      <c r="M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'[19]Team Report'!BA30</f>
        <v>0</v>
      </c>
      <c r="E31" s="65" t="n">
        <f aca="false">(C31/9)*12</f>
        <v>0</v>
      </c>
      <c r="F31" s="65"/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'[19]Team Report'!BA31</f>
        <v>0</v>
      </c>
      <c r="E32" s="65" t="n">
        <f aca="false">(C32/9)*12</f>
        <v>0</v>
      </c>
      <c r="F32" s="65"/>
      <c r="J32" s="0" t="s">
        <v>270</v>
      </c>
      <c r="K32" s="50" t="n">
        <v>160000</v>
      </c>
      <c r="L32" s="50" t="n">
        <v>0</v>
      </c>
      <c r="M32" s="50" t="n">
        <f aca="false">K32*L32</f>
        <v>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'[19]Team Report'!BA39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'[19]Team Report'!BA40</f>
        <v>164920.93</v>
      </c>
      <c r="E34" s="65" t="n">
        <v>0</v>
      </c>
      <c r="F34" s="65"/>
      <c r="L34" s="50" t="n">
        <f aca="false">+L28+L32</f>
        <v>140</v>
      </c>
      <c r="M34" s="50" t="n">
        <f aca="false">M28*1.2+M32</f>
        <v>19481760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'[19]Team Report'!BA41</f>
        <v>945381.27</v>
      </c>
      <c r="E35" s="65" t="n">
        <v>0</v>
      </c>
      <c r="F35" s="65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'[19]Team Report'!BA43</f>
        <v>-5121278.52</v>
      </c>
      <c r="E36" s="65" t="n">
        <v>0</v>
      </c>
      <c r="F36" s="65"/>
      <c r="I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'[19]Team Report'!BA45</f>
        <v>0</v>
      </c>
      <c r="E37" s="65" t="n">
        <f aca="false">(C37/9)*12</f>
        <v>0</v>
      </c>
      <c r="F37" s="65"/>
    </row>
    <row r="38" customFormat="false" ht="12.75" hidden="true" customHeight="false" outlineLevel="0" collapsed="false">
      <c r="A38" s="63" t="s">
        <v>130</v>
      </c>
      <c r="B38" s="64" t="s">
        <v>131</v>
      </c>
      <c r="C38" s="65" t="n">
        <v>24143776.43</v>
      </c>
      <c r="E38" s="65" t="n">
        <v>0</v>
      </c>
      <c r="F38" s="65"/>
      <c r="I38" s="0" t="s">
        <v>263</v>
      </c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-13992730.45</v>
      </c>
    </row>
    <row r="45" customFormat="false" ht="12.75" hidden="false" customHeight="false" outlineLevel="0" collapsed="false">
      <c r="B45" s="64" t="s">
        <v>271</v>
      </c>
    </row>
    <row r="46" customFormat="false" ht="12.75" hidden="false" customHeight="false" outlineLevel="0" collapsed="false">
      <c r="B46" s="64" t="s">
        <v>272</v>
      </c>
    </row>
    <row r="47" customFormat="false" ht="12.75" hidden="false" customHeight="false" outlineLevel="0" collapsed="false">
      <c r="B47" s="64" t="s">
        <v>273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51" t="str">
        <f aca="false">'[20]Team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tr">
        <f aca="false">"IT Infrastructure"</f>
        <v>IT Infrastructure</v>
      </c>
      <c r="C2" s="51"/>
      <c r="D2" s="51"/>
      <c r="E2" s="51"/>
      <c r="F2" s="51"/>
      <c r="G2" s="51"/>
      <c r="H2" s="51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1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H6" s="101" t="n">
        <v>2002</v>
      </c>
      <c r="J6" s="88"/>
      <c r="K6" s="80" t="s">
        <v>109</v>
      </c>
      <c r="L6" s="80" t="s">
        <v>110</v>
      </c>
      <c r="M6" s="106" t="s">
        <v>232</v>
      </c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H7" s="62" t="s">
        <v>118</v>
      </c>
      <c r="J7" s="88"/>
      <c r="M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'[20]Team Report'!BA25</f>
        <v>10228335.79</v>
      </c>
      <c r="E8" s="65" t="n">
        <f aca="false">+C8/9*12</f>
        <v>13637781.0533333</v>
      </c>
      <c r="H8" s="65" t="n">
        <f aca="false">((+M28)*1.2)*0.917</f>
        <v>7715564.64</v>
      </c>
      <c r="J8" s="88"/>
      <c r="M8" s="60"/>
      <c r="Q8" s="65" t="n">
        <f aca="false">+H8/$H$28*$Q$28</f>
        <v>130772.282033898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H9" s="65" t="n">
        <f aca="false">(((F9/9)*12)*1.2)*0.917</f>
        <v>0</v>
      </c>
      <c r="J9" s="88"/>
      <c r="M9" s="60"/>
      <c r="Q9" s="65" t="n">
        <f aca="false">+H9/$H$28*$Q$28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'[20]Team Report'!BA26</f>
        <v>1877442.13</v>
      </c>
      <c r="E10" s="65" t="n">
        <f aca="false">(C10/9)*12</f>
        <v>2503256.17333333</v>
      </c>
      <c r="H10" s="65" t="n">
        <f aca="false">((+H8*0.2)*1.2)*0.917</f>
        <v>1698041.4659712</v>
      </c>
      <c r="J10" s="88"/>
      <c r="M10" s="60"/>
      <c r="Q10" s="65" t="n">
        <f aca="false">+H10/$H$28*$Q$28</f>
        <v>28780.3638300203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'[20]Team Report'!BA27</f>
        <v>405632.98</v>
      </c>
      <c r="E11" s="65" t="n">
        <f aca="false">(C11/9)*12</f>
        <v>540843.973333333</v>
      </c>
      <c r="H11" s="65" t="n">
        <f aca="false">(((2485728*0.35+1000000)*0.559633027522936)*1.2)*0.917</f>
        <v>1151586.69905615</v>
      </c>
      <c r="J11" s="88" t="s">
        <v>83</v>
      </c>
      <c r="K11" s="50" t="n">
        <f aca="false">18495*1.2</f>
        <v>22194</v>
      </c>
      <c r="L11" s="50" t="n">
        <f aca="false">+L34</f>
        <v>67</v>
      </c>
      <c r="M11" s="60" t="n">
        <f aca="false">K11*L11+32600125</f>
        <v>34087123</v>
      </c>
      <c r="Q11" s="65" t="n">
        <f aca="false">+H11/$H$28*$Q$28</f>
        <v>19518.4186280703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'[20]Team Report'!BA28</f>
        <v>648740.17</v>
      </c>
      <c r="E12" s="65" t="n">
        <f aca="false">(C12/9)*12</f>
        <v>864986.893333333</v>
      </c>
      <c r="H12" s="65" t="n">
        <f aca="false">(((2485728*0.13+1000000)*0.559633027522936)*1.2)*0.917</f>
        <v>814819.174983633</v>
      </c>
      <c r="J12" s="88"/>
      <c r="M12" s="60"/>
      <c r="Q12" s="65" t="n">
        <f aca="false">+H12/$H$28*$Q$28</f>
        <v>13810.494491248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(C13/9)*12</f>
        <v>0</v>
      </c>
      <c r="H13" s="65" t="n">
        <v>2200800</v>
      </c>
      <c r="J13" s="93" t="s">
        <v>129</v>
      </c>
      <c r="K13" s="69"/>
      <c r="L13" s="69"/>
      <c r="M13" s="70" t="n">
        <f aca="false">SUM(M9:M11)</f>
        <v>34087123</v>
      </c>
      <c r="Q13" s="65" t="n">
        <f aca="false">+H13/$H$28*$Q$28</f>
        <v>37301.6949152542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'[20]Team Report'!BA33</f>
        <v>76876.32</v>
      </c>
      <c r="E14" s="65" t="n">
        <f aca="false">(C14/9)*12</f>
        <v>102501.76</v>
      </c>
      <c r="H14" s="65" t="n">
        <f aca="false">(((2485728*0.08+100000)*0.559633027522936)*1.2)*0.917</f>
        <v>184042.936193174</v>
      </c>
      <c r="J14" s="27"/>
      <c r="Q14" s="65" t="n">
        <f aca="false">+H14/$H$28*$Q$28</f>
        <v>3119.37179988431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'[20]Team Report'!BA34</f>
        <v>0</v>
      </c>
      <c r="E15" s="65" t="n">
        <f aca="false">(C15/9)*12</f>
        <v>0</v>
      </c>
      <c r="H15" s="65" t="n">
        <v>0</v>
      </c>
      <c r="J15" s="27"/>
      <c r="L15" s="108"/>
      <c r="Q15" s="65" t="n">
        <f aca="false">+H15/$H$28*$Q$28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'[20]Team Report'!BA35</f>
        <v>0</v>
      </c>
      <c r="E16" s="65" t="n">
        <f aca="false">(C16/9)*12</f>
        <v>0</v>
      </c>
      <c r="H16" s="65" t="n">
        <v>0</v>
      </c>
      <c r="J16" s="0" t="s">
        <v>193</v>
      </c>
      <c r="K16" s="50" t="n">
        <v>49200</v>
      </c>
      <c r="L16" s="50" t="n">
        <v>0</v>
      </c>
      <c r="M16" s="50" t="n">
        <f aca="false">K16*L16</f>
        <v>0</v>
      </c>
      <c r="Q16" s="65" t="n">
        <f aca="false">+H16/$H$28*$Q$28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'[20]Team Report'!BA36</f>
        <v>5744.1</v>
      </c>
      <c r="E17" s="65" t="n">
        <f aca="false">(C17/9)*12</f>
        <v>7658.8</v>
      </c>
      <c r="H17" s="65" t="n">
        <v>2130374.4</v>
      </c>
      <c r="J17" s="0" t="s">
        <v>139</v>
      </c>
      <c r="K17" s="50" t="n">
        <v>57600</v>
      </c>
      <c r="L17" s="50" t="n">
        <v>1</v>
      </c>
      <c r="M17" s="50" t="n">
        <f aca="false">K17*L17</f>
        <v>57600</v>
      </c>
      <c r="Q17" s="65" t="n">
        <f aca="false">+H17/$H$28*$Q$28</f>
        <v>36108.0406779661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'[20]Team Report'!BA37</f>
        <v>67058.6</v>
      </c>
      <c r="E18" s="65" t="n">
        <f aca="false">(C18/9)*12</f>
        <v>89411.4666666667</v>
      </c>
      <c r="H18" s="65" t="n">
        <f aca="false">(((2485728*0.29+2500000)*0.559633027522936+3445700)*1.2)*0.917</f>
        <v>5775119.56590209</v>
      </c>
      <c r="J18" s="0" t="s">
        <v>142</v>
      </c>
      <c r="K18" s="50" t="n">
        <v>60000</v>
      </c>
      <c r="L18" s="50" t="n">
        <v>2</v>
      </c>
      <c r="M18" s="50" t="n">
        <f aca="false">K18*L18</f>
        <v>120000</v>
      </c>
      <c r="Q18" s="65" t="n">
        <f aca="false">+H18/$H$28*$Q$28</f>
        <v>97883.3824729168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'[20]Team Report'!BA38</f>
        <v>0</v>
      </c>
      <c r="E19" s="65" t="n">
        <f aca="false">(C19/9)*12</f>
        <v>0</v>
      </c>
      <c r="H19" s="65" t="n">
        <v>0</v>
      </c>
      <c r="J19" s="0" t="s">
        <v>145</v>
      </c>
      <c r="K19" s="50" t="n">
        <v>78000</v>
      </c>
      <c r="L19" s="50" t="n">
        <v>9</v>
      </c>
      <c r="M19" s="50" t="n">
        <f aca="false">K19*L19</f>
        <v>702000</v>
      </c>
      <c r="Q19" s="65" t="n">
        <f aca="false">+H19/$H$28*$Q$28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'[20]Team Report'!BA42</f>
        <v>842429.76</v>
      </c>
      <c r="E20" s="65" t="n">
        <f aca="false">(C20/9)*12+32600125</f>
        <v>33723364.68</v>
      </c>
      <c r="H20" s="65" t="n">
        <f aca="false">((2485728*0.15+2500000+35100000-32660209)*1.2)*0.917</f>
        <v>5846040.28008</v>
      </c>
      <c r="J20" s="0" t="s">
        <v>148</v>
      </c>
      <c r="K20" s="50" t="n">
        <v>102000</v>
      </c>
      <c r="L20" s="50" t="n">
        <v>25</v>
      </c>
      <c r="M20" s="50" t="n">
        <f aca="false">K20*L20</f>
        <v>2550000</v>
      </c>
      <c r="Q20" s="65" t="n">
        <f aca="false">+H20/$H$28*$Q$28</f>
        <v>99085.4284759323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'[20]Team Report'!BA44</f>
        <v>6453.7</v>
      </c>
      <c r="E21" s="65" t="n">
        <f aca="false">(C21/9)*12</f>
        <v>8604.93333333333</v>
      </c>
      <c r="H21" s="65" t="n">
        <f aca="false">(((F21/9)*12)*1.2)*0.917</f>
        <v>0</v>
      </c>
      <c r="J21" s="0" t="s">
        <v>151</v>
      </c>
      <c r="K21" s="50" t="n">
        <v>0</v>
      </c>
      <c r="L21" s="50" t="n">
        <v>0</v>
      </c>
      <c r="M21" s="50" t="n">
        <f aca="false">K21*L21</f>
        <v>0</v>
      </c>
      <c r="Q21" s="65" t="n">
        <f aca="false">+H21/$H$28*$Q$28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14158713.55</v>
      </c>
      <c r="E22" s="74" t="n">
        <f aca="false">SUM(E8:E21)</f>
        <v>51478409.7333333</v>
      </c>
      <c r="H22" s="74" t="n">
        <f aca="false">SUM(H8:H21)</f>
        <v>27516389.1621863</v>
      </c>
      <c r="J22" s="0" t="s">
        <v>269</v>
      </c>
      <c r="K22" s="50" t="n">
        <v>192000</v>
      </c>
      <c r="L22" s="50" t="n">
        <v>0</v>
      </c>
      <c r="M22" s="50" t="n">
        <f aca="false">K22*L22</f>
        <v>0</v>
      </c>
      <c r="Q22" s="74" t="n">
        <f aca="false">SUM(Q8:Q21)</f>
        <v>466379.477325191</v>
      </c>
    </row>
    <row r="23" customFormat="false" ht="12.75" hidden="false" customHeight="false" outlineLevel="0" collapsed="false">
      <c r="J23" s="0" t="s">
        <v>157</v>
      </c>
      <c r="K23" s="50" t="n">
        <v>144000</v>
      </c>
      <c r="L23" s="50" t="n">
        <v>15</v>
      </c>
      <c r="M23" s="50" t="n">
        <f aca="false">K23*L23</f>
        <v>2160000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111</v>
      </c>
      <c r="F24" s="0" t="n">
        <v>40</v>
      </c>
      <c r="H24" s="110" t="n">
        <f aca="false">+L28-1</f>
        <v>58</v>
      </c>
      <c r="J24" s="0" t="s">
        <v>158</v>
      </c>
      <c r="K24" s="50" t="n">
        <v>168000</v>
      </c>
      <c r="L24" s="50" t="n">
        <v>2</v>
      </c>
      <c r="M24" s="50" t="n">
        <f aca="false">K24*L24</f>
        <v>336000</v>
      </c>
      <c r="Q24" s="77" t="n">
        <f aca="false">+T15+T16+T17+T18+T19+T22+T23+T24+T25+T26</f>
        <v>0</v>
      </c>
    </row>
    <row r="25" customFormat="false" ht="12.75" hidden="false" customHeight="false" outlineLevel="0" collapsed="false">
      <c r="J25" s="0" t="s">
        <v>159</v>
      </c>
      <c r="K25" s="50" t="n">
        <v>216000</v>
      </c>
      <c r="L25" s="50" t="n">
        <v>4</v>
      </c>
      <c r="M25" s="50" t="n">
        <f aca="false">K25*L25</f>
        <v>864000</v>
      </c>
      <c r="Q25" s="65"/>
    </row>
    <row r="26" customFormat="false" ht="12.75" hidden="false" customHeight="false" outlineLevel="0" collapsed="false">
      <c r="B26" s="73" t="s">
        <v>161</v>
      </c>
      <c r="C26" s="109"/>
      <c r="E26" s="109"/>
      <c r="H26" s="109" t="n">
        <v>1</v>
      </c>
      <c r="J26" s="0" t="s">
        <v>160</v>
      </c>
      <c r="K26" s="50" t="n">
        <v>222000</v>
      </c>
      <c r="L26" s="50" t="n">
        <v>1</v>
      </c>
      <c r="M26" s="50" t="n">
        <f aca="false">K26*L26</f>
        <v>222000</v>
      </c>
      <c r="Q26" s="77" t="n">
        <f aca="false">+T20+T21</f>
        <v>0</v>
      </c>
    </row>
    <row r="27" customFormat="false" ht="12.75" hidden="false" customHeight="false" outlineLevel="0" collapsed="false">
      <c r="J27" s="0" t="s">
        <v>162</v>
      </c>
      <c r="K27" s="50" t="n">
        <v>300000</v>
      </c>
      <c r="L27" s="50" t="n">
        <v>0</v>
      </c>
      <c r="M27" s="50" t="n">
        <f aca="false">K27*L27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111</v>
      </c>
      <c r="H28" s="109" t="n">
        <f aca="false">SUM(H24:H27)</f>
        <v>59</v>
      </c>
      <c r="L28" s="50" t="n">
        <f aca="false">SUM(L16:L27)</f>
        <v>59</v>
      </c>
      <c r="M28" s="50" t="n">
        <f aca="false">SUM(M16:M27)</f>
        <v>7011600</v>
      </c>
      <c r="Q28" s="77" t="n">
        <v>1</v>
      </c>
    </row>
    <row r="29" customFormat="false" ht="12.75" hidden="fals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'[20]Team Report'!BA29</f>
        <v>-24140467.68</v>
      </c>
      <c r="E30" s="65" t="n">
        <v>0</v>
      </c>
      <c r="J30" s="0" t="s">
        <v>249</v>
      </c>
      <c r="L30" s="78"/>
      <c r="M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'[20]Team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'[20]Team Report'!BA31</f>
        <v>0</v>
      </c>
      <c r="E32" s="65" t="n">
        <f aca="false">(C32/9)*12</f>
        <v>0</v>
      </c>
      <c r="J32" s="0" t="s">
        <v>270</v>
      </c>
      <c r="K32" s="50" t="n">
        <v>192000</v>
      </c>
      <c r="L32" s="50" t="n">
        <v>8</v>
      </c>
      <c r="M32" s="50" t="n">
        <f aca="false">K32*L32</f>
        <v>1536000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'[20]Team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'[20]Team Report'!BA40</f>
        <v>164920.93</v>
      </c>
      <c r="E34" s="65" t="n">
        <v>0</v>
      </c>
      <c r="L34" s="50" t="n">
        <f aca="false">+L28+L32</f>
        <v>67</v>
      </c>
      <c r="M34" s="50" t="n">
        <f aca="false">M28*1.2+M32</f>
        <v>9949920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'[20]Team Report'!BA41</f>
        <v>945381.27</v>
      </c>
      <c r="E35" s="65" t="n">
        <v>0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'[20]Team Report'!BA43</f>
        <v>-5121278.52</v>
      </c>
      <c r="E36" s="65" t="n">
        <v>0</v>
      </c>
      <c r="I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'[20]Team Report'!BA45</f>
        <v>0</v>
      </c>
      <c r="E37" s="65" t="n">
        <f aca="false">(C37/9)*12</f>
        <v>0</v>
      </c>
    </row>
    <row r="38" customFormat="false" ht="12.75" hidden="true" customHeight="false" outlineLevel="0" collapsed="false">
      <c r="A38" s="63" t="s">
        <v>130</v>
      </c>
      <c r="B38" s="64" t="s">
        <v>131</v>
      </c>
      <c r="C38" s="65" t="n">
        <v>24143776.43</v>
      </c>
      <c r="E38" s="65" t="n">
        <v>0</v>
      </c>
      <c r="I38" s="0" t="s">
        <v>263</v>
      </c>
    </row>
    <row r="39" customFormat="false" ht="12.75" hidden="false" customHeight="false" outlineLevel="0" collapsed="false">
      <c r="J39" s="0" t="n">
        <f aca="false">61/109</f>
        <v>0.559633027522936</v>
      </c>
    </row>
    <row r="41" customFormat="false" ht="12.75" hidden="false" customHeight="false" outlineLevel="0" collapsed="false">
      <c r="B41" s="64" t="s">
        <v>274</v>
      </c>
    </row>
    <row r="42" customFormat="false" ht="12.75" hidden="false" customHeight="false" outlineLevel="0" collapsed="false">
      <c r="B42" s="64" t="s">
        <v>275</v>
      </c>
    </row>
    <row r="43" customFormat="false" ht="12.75" hidden="false" customHeight="false" outlineLevel="0" collapsed="false">
      <c r="B43" s="64" t="s">
        <v>276</v>
      </c>
      <c r="C43" s="103" t="n">
        <f aca="false">C22+C30+C31+C32+C33+C34+C35+C36+C37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51" t="str">
        <f aca="false">'[20]Team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277</v>
      </c>
      <c r="C2" s="51"/>
      <c r="D2" s="51"/>
      <c r="E2" s="51"/>
      <c r="F2" s="51"/>
      <c r="G2" s="51"/>
      <c r="H2" s="51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1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H6" s="101" t="n">
        <v>2002</v>
      </c>
      <c r="J6" s="88"/>
      <c r="K6" s="80" t="s">
        <v>109</v>
      </c>
      <c r="L6" s="80" t="s">
        <v>110</v>
      </c>
      <c r="M6" s="106" t="s">
        <v>232</v>
      </c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H7" s="62" t="s">
        <v>118</v>
      </c>
      <c r="J7" s="88"/>
      <c r="M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278</v>
      </c>
      <c r="C8" s="107" t="n">
        <f aca="false">'[20]Team Report'!BA25</f>
        <v>10228335.79</v>
      </c>
      <c r="E8" s="65" t="n">
        <f aca="false">+C8/9*12</f>
        <v>13637781.0533333</v>
      </c>
      <c r="H8" s="65" t="n">
        <v>1100400</v>
      </c>
      <c r="I8" s="65"/>
      <c r="J8" s="65"/>
      <c r="K8" s="65"/>
      <c r="L8" s="65"/>
      <c r="M8" s="65"/>
      <c r="N8" s="65"/>
      <c r="O8" s="65"/>
      <c r="P8" s="65"/>
      <c r="Q8" s="65" t="e">
        <f aca="false">+H8/#REF!*#REF!</f>
        <v>#REF!</v>
      </c>
      <c r="R8" s="65"/>
      <c r="S8" s="65"/>
      <c r="T8" s="65"/>
      <c r="U8" s="65"/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H9" s="0" t="n">
        <f aca="false">((((F9/9)*12)*1.2)*1.2)*0.917</f>
        <v>0</v>
      </c>
      <c r="J9" s="88" t="s">
        <v>120</v>
      </c>
      <c r="K9" s="50" t="n">
        <v>0</v>
      </c>
      <c r="L9" s="50" t="e">
        <f aca="false">+#REF!</f>
        <v>#REF!</v>
      </c>
      <c r="M9" s="60" t="e">
        <f aca="false">#REF!</f>
        <v>#REF!</v>
      </c>
      <c r="Q9" s="65" t="e">
        <f aca="false">+H9/#REF!*#REF!</f>
        <v>#REF!</v>
      </c>
    </row>
    <row r="10" customFormat="false" ht="12.75" hidden="true" customHeight="false" outlineLevel="0" collapsed="false">
      <c r="A10" s="63"/>
      <c r="B10" s="64" t="s">
        <v>254</v>
      </c>
      <c r="C10" s="65" t="n">
        <v>0</v>
      </c>
      <c r="E10" s="65" t="n">
        <f aca="false">(C10/9)*12</f>
        <v>0</v>
      </c>
      <c r="H10" s="0" t="n">
        <f aca="false">((((F10/9)*12)*1.2)*1.2)*0.917</f>
        <v>0</v>
      </c>
      <c r="J10" s="88"/>
      <c r="M10" s="60"/>
      <c r="Q10" s="65" t="e">
        <f aca="false">+H10/#REF!*#REF!</f>
        <v>#REF!</v>
      </c>
    </row>
    <row r="11" customFormat="false" ht="12.75" hidden="false" customHeight="false" outlineLevel="0" collapsed="false">
      <c r="A11" s="63" t="s">
        <v>123</v>
      </c>
      <c r="B11" s="64" t="s">
        <v>279</v>
      </c>
      <c r="C11" s="65" t="n">
        <f aca="false">'[20]Team Report'!BA26</f>
        <v>1877442.13</v>
      </c>
      <c r="E11" s="65" t="n">
        <f aca="false">(C11/9)*12</f>
        <v>2503256.17333333</v>
      </c>
      <c r="H11" s="65" t="n">
        <v>11004000</v>
      </c>
      <c r="J11" s="88"/>
      <c r="M11" s="60"/>
      <c r="Q11" s="65" t="e">
        <f aca="false">+H11/#REF!*#REF!</f>
        <v>#REF!</v>
      </c>
    </row>
    <row r="12" customFormat="false" ht="12.75" hidden="false" customHeight="false" outlineLevel="0" collapsed="false">
      <c r="A12" s="63" t="s">
        <v>125</v>
      </c>
      <c r="B12" s="64" t="s">
        <v>280</v>
      </c>
      <c r="C12" s="65" t="n">
        <f aca="false">'[20]Team Report'!BA27</f>
        <v>405632.98</v>
      </c>
      <c r="E12" s="65" t="n">
        <f aca="false">(C12/9)*12</f>
        <v>540843.973333333</v>
      </c>
      <c r="H12" s="65" t="n">
        <v>330120</v>
      </c>
      <c r="J12" s="88" t="s">
        <v>83</v>
      </c>
      <c r="K12" s="50" t="n">
        <f aca="false">18495*1.2</f>
        <v>22194</v>
      </c>
      <c r="L12" s="50" t="e">
        <f aca="false">+#REF!</f>
        <v>#REF!</v>
      </c>
      <c r="M12" s="60" t="e">
        <f aca="false">K12*L12+32600125</f>
        <v>#REF!</v>
      </c>
      <c r="Q12" s="65" t="e">
        <f aca="false">+H12/#REF!*#REF!</f>
        <v>#REF!</v>
      </c>
    </row>
    <row r="13" customFormat="false" ht="12.75" hidden="false" customHeight="false" outlineLevel="0" collapsed="false">
      <c r="A13" s="63" t="s">
        <v>127</v>
      </c>
      <c r="B13" s="64" t="s">
        <v>281</v>
      </c>
      <c r="C13" s="65" t="n">
        <f aca="false">'[20]Team Report'!BA28</f>
        <v>648740.17</v>
      </c>
      <c r="E13" s="65" t="n">
        <f aca="false">(C13/9)*12</f>
        <v>864986.893333333</v>
      </c>
      <c r="H13" s="65" t="n">
        <v>165060</v>
      </c>
      <c r="J13" s="88"/>
      <c r="M13" s="60"/>
      <c r="Q13" s="65" t="e">
        <f aca="false">+H13/#REF!*#REF!</f>
        <v>#REF!</v>
      </c>
    </row>
    <row r="14" customFormat="false" ht="13.5" hidden="false" customHeight="false" outlineLevel="0" collapsed="false">
      <c r="A14" s="63" t="s">
        <v>130</v>
      </c>
      <c r="B14" s="64" t="s">
        <v>282</v>
      </c>
      <c r="C14" s="65" t="n">
        <v>0</v>
      </c>
      <c r="E14" s="65" t="n">
        <f aca="false">(C14/9)*12</f>
        <v>0</v>
      </c>
      <c r="H14" s="65" t="n">
        <v>2751000</v>
      </c>
      <c r="J14" s="93" t="s">
        <v>129</v>
      </c>
      <c r="K14" s="69"/>
      <c r="L14" s="69"/>
      <c r="M14" s="70" t="e">
        <f aca="false">SUM(M9:M12)</f>
        <v>#REF!</v>
      </c>
      <c r="Q14" s="65" t="e">
        <f aca="false">+H14/#REF!*#REF!</f>
        <v>#REF!</v>
      </c>
    </row>
    <row r="15" customFormat="false" ht="12.75" hidden="false" customHeight="false" outlineLevel="0" collapsed="false">
      <c r="A15" s="63" t="s">
        <v>132</v>
      </c>
      <c r="B15" s="64" t="s">
        <v>283</v>
      </c>
      <c r="C15" s="65" t="n">
        <f aca="false">'[20]Team Report'!BA33</f>
        <v>76876.32</v>
      </c>
      <c r="E15" s="65" t="n">
        <f aca="false">(C15/9)*12</f>
        <v>102501.76</v>
      </c>
      <c r="H15" s="65" t="n">
        <v>825300</v>
      </c>
      <c r="J15" s="27"/>
      <c r="Q15" s="65" t="e">
        <f aca="false">+H15/#REF!*#REF!</f>
        <v>#REF!</v>
      </c>
    </row>
    <row r="16" customFormat="false" ht="12.75" hidden="false" customHeight="false" outlineLevel="0" collapsed="false">
      <c r="A16" s="63" t="s">
        <v>134</v>
      </c>
      <c r="B16" s="64" t="s">
        <v>284</v>
      </c>
      <c r="C16" s="65" t="n">
        <f aca="false">'[20]Team Report'!BA34</f>
        <v>0</v>
      </c>
      <c r="E16" s="65" t="n">
        <f aca="false">(C16/9)*12</f>
        <v>0</v>
      </c>
      <c r="H16" s="65" t="n">
        <v>5942.16</v>
      </c>
      <c r="J16" s="27"/>
      <c r="L16" s="108"/>
      <c r="Q16" s="65" t="e">
        <f aca="false">+H16/#REF!*#REF!</f>
        <v>#REF!</v>
      </c>
    </row>
    <row r="17" customFormat="false" ht="12.75" hidden="false" customHeight="false" outlineLevel="0" collapsed="false">
      <c r="A17" s="72" t="s">
        <v>155</v>
      </c>
      <c r="B17" s="73" t="s">
        <v>285</v>
      </c>
      <c r="C17" s="74" t="n">
        <f aca="false">SUM(C8:C16)</f>
        <v>13237027.39</v>
      </c>
      <c r="E17" s="74" t="n">
        <f aca="false">SUM(E8:E16)</f>
        <v>17649369.8533333</v>
      </c>
      <c r="H17" s="74" t="n">
        <f aca="false">SUM(H8:H16)</f>
        <v>16181822.16</v>
      </c>
      <c r="J17" s="0" t="s">
        <v>269</v>
      </c>
      <c r="K17" s="50" t="n">
        <v>192000</v>
      </c>
      <c r="L17" s="50" t="n">
        <v>0</v>
      </c>
      <c r="M17" s="50" t="n">
        <f aca="false">K17*L17</f>
        <v>0</v>
      </c>
      <c r="Q17" s="74" t="e">
        <f aca="false">SUM(Q8:Q16)</f>
        <v>#REF!</v>
      </c>
    </row>
    <row r="18" customFormat="false" ht="12.75" hidden="false" customHeight="false" outlineLevel="0" collapsed="false">
      <c r="J18" s="0" t="s">
        <v>157</v>
      </c>
      <c r="K18" s="50" t="n">
        <v>144000</v>
      </c>
      <c r="L18" s="50" t="n">
        <v>15</v>
      </c>
      <c r="M18" s="50" t="n">
        <f aca="false">K18*L18</f>
        <v>2160000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50" width="10.41"/>
    <col collapsed="false" customWidth="true" hidden="true" outlineLevel="0" max="13" min="13" style="50" width="10.85"/>
    <col collapsed="false" customWidth="true" hidden="true" outlineLevel="0" max="14" min="14" style="50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3"/>
      <c r="L1" s="52"/>
      <c r="M1" s="52"/>
      <c r="N1" s="52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68</v>
      </c>
      <c r="C2" s="51"/>
      <c r="D2" s="51"/>
      <c r="E2" s="51"/>
      <c r="F2" s="51"/>
      <c r="G2" s="51"/>
      <c r="H2" s="53"/>
      <c r="I2" s="53"/>
      <c r="J2" s="53"/>
      <c r="K2" s="53"/>
      <c r="L2" s="52"/>
      <c r="M2" s="52"/>
      <c r="N2" s="52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5"/>
      <c r="J3" s="55"/>
      <c r="K3" s="55"/>
      <c r="L3" s="52"/>
      <c r="M3" s="52"/>
      <c r="N3" s="52"/>
      <c r="O3" s="55"/>
      <c r="P3" s="54"/>
      <c r="Q3" s="54"/>
      <c r="R3" s="54"/>
      <c r="S3" s="54"/>
      <c r="T3" s="54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K4" s="105"/>
      <c r="L4" s="105"/>
      <c r="M4" s="105"/>
      <c r="N4" s="105"/>
      <c r="P4" s="10"/>
      <c r="Q4" s="10"/>
      <c r="R4" s="10"/>
      <c r="S4" s="10"/>
      <c r="T4" s="27"/>
    </row>
    <row r="5" customFormat="false" ht="12.75" hidden="false" customHeight="false" outlineLevel="0" collapsed="false">
      <c r="K5" s="85"/>
      <c r="L5" s="57"/>
      <c r="M5" s="57"/>
      <c r="N5" s="58"/>
      <c r="O5" s="27"/>
      <c r="P5" s="27"/>
      <c r="Q5" s="50"/>
      <c r="R5" s="50"/>
      <c r="S5" s="50"/>
      <c r="T5" s="27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I6" s="61"/>
      <c r="K6" s="88"/>
      <c r="L6" s="80" t="s">
        <v>109</v>
      </c>
      <c r="M6" s="80" t="s">
        <v>110</v>
      </c>
      <c r="N6" s="106" t="s">
        <v>232</v>
      </c>
      <c r="O6" s="101" t="n">
        <v>2002</v>
      </c>
      <c r="P6" s="27"/>
      <c r="Q6" s="80"/>
      <c r="R6" s="80"/>
      <c r="S6" s="80"/>
      <c r="T6" s="27"/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116</v>
      </c>
      <c r="I7" s="62"/>
      <c r="K7" s="88"/>
      <c r="N7" s="60"/>
      <c r="O7" s="62" t="s">
        <v>118</v>
      </c>
      <c r="P7" s="27"/>
      <c r="Q7" s="50"/>
      <c r="R7" s="50"/>
      <c r="S7" s="50"/>
      <c r="T7" s="27"/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(C8/9)*12</f>
        <v>6647336.30666667</v>
      </c>
      <c r="F8" s="65"/>
      <c r="G8" s="65" t="n">
        <f aca="false">((SUM(N16:N18,N20:N26)+172800+561516)*1.2)*0.917</f>
        <v>3880798.2864</v>
      </c>
      <c r="K8" s="88"/>
      <c r="N8" s="60"/>
      <c r="O8" s="65" t="n">
        <f aca="false">+G8/$G$28*$O$28</f>
        <v>99507.6483692308</v>
      </c>
      <c r="P8" s="27"/>
      <c r="Q8" s="50"/>
      <c r="R8" s="50"/>
      <c r="S8" s="50"/>
      <c r="T8" s="27"/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F9" s="65"/>
      <c r="G9" s="65" t="n">
        <v>0</v>
      </c>
      <c r="K9" s="88"/>
      <c r="N9" s="60"/>
      <c r="O9" s="65" t="n">
        <f aca="false">+G9/$G$28*$O$28</f>
        <v>0</v>
      </c>
      <c r="P9" s="27"/>
      <c r="Q9" s="50"/>
      <c r="R9" s="50"/>
      <c r="S9" s="50"/>
      <c r="T9" s="27"/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(C10/9)*12</f>
        <v>1613708.14666667</v>
      </c>
      <c r="F10" s="65"/>
      <c r="G10" s="65" t="n">
        <f aca="false">((SUM(G8:G9)*0.2+49374)*1.2)*0.917</f>
        <v>908417.236470912</v>
      </c>
      <c r="K10" s="88"/>
      <c r="N10" s="60"/>
      <c r="O10" s="65" t="n">
        <f aca="false">+G10/$G$28*$O$28</f>
        <v>23292.7496531003</v>
      </c>
      <c r="P10" s="27"/>
      <c r="Q10" s="50"/>
      <c r="R10" s="50"/>
      <c r="S10" s="50"/>
      <c r="T10" s="27"/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((C11/9)*12)*1.99</f>
        <v>504212.853733333</v>
      </c>
      <c r="F11" s="65"/>
      <c r="G11" s="65" t="n">
        <f aca="false">((348924+240000-409440+61200)*1.2)*0.917</f>
        <v>264848.6736</v>
      </c>
      <c r="K11" s="88" t="s">
        <v>83</v>
      </c>
      <c r="L11" s="50" t="n">
        <f aca="false">(E11+E12+E13+E14+E15+E16+E17+E18+E19+E20+E21)/E28</f>
        <v>10001.2649254237</v>
      </c>
      <c r="M11" s="50" t="n">
        <f aca="false">M27</f>
        <v>39</v>
      </c>
      <c r="N11" s="60" t="n">
        <f aca="false">L11*M11+500000+630554</f>
        <v>1520603.33209153</v>
      </c>
      <c r="O11" s="65" t="n">
        <f aca="false">+G11/$G$28*$O$28</f>
        <v>6790.99163076923</v>
      </c>
      <c r="P11" s="27"/>
      <c r="Q11" s="50"/>
      <c r="R11" s="50"/>
      <c r="S11" s="50"/>
      <c r="T11" s="27"/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((C12/9)*12)*2.35</f>
        <v>245623.817333333</v>
      </c>
      <c r="F12" s="65"/>
      <c r="G12" s="65" t="n">
        <f aca="false">((262411+100000-5411)*1.2)*0.917</f>
        <v>392842.8</v>
      </c>
      <c r="K12" s="88"/>
      <c r="N12" s="60"/>
      <c r="O12" s="65" t="n">
        <f aca="false">+G12/$G$28*$O$28</f>
        <v>10072.8923076923</v>
      </c>
      <c r="P12" s="27"/>
      <c r="Q12" s="50"/>
      <c r="R12" s="50"/>
      <c r="S12" s="50"/>
      <c r="T12" s="27"/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((C13/9)*12)*1.2</f>
        <v>0</v>
      </c>
      <c r="F13" s="65"/>
      <c r="G13" s="65" t="n">
        <v>28060.2</v>
      </c>
      <c r="K13" s="93" t="s">
        <v>129</v>
      </c>
      <c r="L13" s="69"/>
      <c r="M13" s="69"/>
      <c r="N13" s="70" t="n">
        <f aca="false">SUM(N9:N11)</f>
        <v>1520603.33209153</v>
      </c>
      <c r="O13" s="65" t="n">
        <f aca="false">+G13/$G$28*$O$28</f>
        <v>719.492307692308</v>
      </c>
      <c r="P13" s="27"/>
      <c r="Q13" s="50"/>
      <c r="R13" s="50"/>
      <c r="S13" s="50"/>
      <c r="T13" s="27"/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((C14/9)*12)*1.81</f>
        <v>168744.2004</v>
      </c>
      <c r="F14" s="65"/>
      <c r="G14" s="65" t="n">
        <f aca="false">((96365+40000-136365+92328)*1.2)*0.917</f>
        <v>101597.7312</v>
      </c>
      <c r="K14" s="27"/>
      <c r="O14" s="65" t="n">
        <f aca="false">+G14/$G$28*$O$28</f>
        <v>2605.07003076923</v>
      </c>
      <c r="P14" s="27"/>
      <c r="Q14" s="27"/>
      <c r="R14" s="27"/>
      <c r="S14" s="27"/>
      <c r="T14" s="27"/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((C15/9)*12)*1.2</f>
        <v>0</v>
      </c>
      <c r="F15" s="65"/>
      <c r="G15" s="65" t="n">
        <v>374136</v>
      </c>
      <c r="K15" s="27"/>
      <c r="O15" s="65" t="n">
        <f aca="false">+G15/$G$28*$O$28</f>
        <v>9593.23076923077</v>
      </c>
      <c r="P15" s="27"/>
      <c r="Q15" s="27"/>
      <c r="R15" s="27"/>
      <c r="S15" s="27"/>
      <c r="T15" s="27"/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((C16/9)*12)*1.2</f>
        <v>0</v>
      </c>
      <c r="F16" s="65"/>
      <c r="G16" s="65" t="n">
        <v>0</v>
      </c>
      <c r="K16" s="27" t="s">
        <v>193</v>
      </c>
      <c r="L16" s="50" t="n">
        <v>36000</v>
      </c>
      <c r="M16" s="0" t="n">
        <v>0</v>
      </c>
      <c r="N16" s="50" t="n">
        <f aca="false">L16*M16</f>
        <v>0</v>
      </c>
      <c r="O16" s="65" t="n">
        <f aca="false">+G16/$G$28*$O$28</f>
        <v>0</v>
      </c>
      <c r="P16" s="27"/>
      <c r="Q16" s="50"/>
      <c r="R16" s="27"/>
      <c r="S16" s="112"/>
      <c r="T16" s="27"/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((C17/9)*12)*1.29</f>
        <v>32748.2324</v>
      </c>
      <c r="F17" s="65"/>
      <c r="G17" s="65" t="n">
        <f aca="false">((6000)*1.2)*0.917</f>
        <v>6602.4</v>
      </c>
      <c r="K17" s="0" t="s">
        <v>255</v>
      </c>
      <c r="L17" s="50" t="n">
        <v>48000</v>
      </c>
      <c r="M17" s="0" t="n">
        <v>2</v>
      </c>
      <c r="N17" s="50" t="n">
        <f aca="false">L17*M17</f>
        <v>96000</v>
      </c>
      <c r="O17" s="65" t="n">
        <f aca="false">+G17/$G$28*$O$28</f>
        <v>169.292307692308</v>
      </c>
      <c r="Q17" s="50"/>
      <c r="S17" s="71"/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f aca="false">((C18/9)*12)*2.2</f>
        <v>51104.592</v>
      </c>
      <c r="F18" s="65"/>
      <c r="G18" s="65" t="n">
        <f aca="false">((+$N$11*0.19+150000-438915+107240+169200+435536)*1.2)*0.917</f>
        <v>783457.986660368</v>
      </c>
      <c r="K18" s="0" t="s">
        <v>142</v>
      </c>
      <c r="L18" s="50" t="n">
        <v>49200</v>
      </c>
      <c r="M18" s="0" t="n">
        <v>7</v>
      </c>
      <c r="N18" s="50" t="n">
        <f aca="false">L18*M18</f>
        <v>344400</v>
      </c>
      <c r="O18" s="65" t="n">
        <f aca="false">+G18/$G$28*$O$28</f>
        <v>20088.6663246248</v>
      </c>
      <c r="Q18" s="50"/>
      <c r="S18" s="71"/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((C19/9)*12)*1.2</f>
        <v>0</v>
      </c>
      <c r="F19" s="65"/>
      <c r="G19" s="65" t="n">
        <v>0</v>
      </c>
      <c r="K19" s="0" t="s">
        <v>256</v>
      </c>
      <c r="L19" s="50" t="n">
        <v>57600</v>
      </c>
      <c r="M19" s="0" t="n">
        <v>3</v>
      </c>
      <c r="N19" s="50" t="n">
        <f aca="false">L19*M19</f>
        <v>172800</v>
      </c>
      <c r="O19" s="65" t="n">
        <f aca="false">+G19/$G$28*$O$28</f>
        <v>0</v>
      </c>
      <c r="Q19" s="50"/>
      <c r="S19" s="71"/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((C20/9)*12)*1.75</f>
        <v>175099.586666667</v>
      </c>
      <c r="F20" s="65"/>
      <c r="G20" s="65" t="n">
        <f aca="false">((264168+100000+405121-769289+553800+420160+443302)*1.2)*0.917</f>
        <v>1559555.1048</v>
      </c>
      <c r="K20" s="0" t="s">
        <v>145</v>
      </c>
      <c r="L20" s="50" t="n">
        <v>62400</v>
      </c>
      <c r="M20" s="0" t="n">
        <v>8</v>
      </c>
      <c r="N20" s="50" t="n">
        <f aca="false">L20*M20</f>
        <v>499200</v>
      </c>
      <c r="O20" s="65" t="n">
        <f aca="false">+G20/$G$28*$O$28</f>
        <v>39988.5924307692</v>
      </c>
      <c r="Q20" s="50"/>
      <c r="S20" s="71"/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((C21/9)*12)*1.6</f>
        <v>2615.97866666667</v>
      </c>
      <c r="F21" s="65"/>
      <c r="G21" s="65" t="n">
        <v>0</v>
      </c>
      <c r="K21" s="0" t="s">
        <v>257</v>
      </c>
      <c r="L21" s="50" t="n">
        <v>74400</v>
      </c>
      <c r="M21" s="0" t="n">
        <v>7</v>
      </c>
      <c r="N21" s="50" t="n">
        <f aca="false">L21*M21</f>
        <v>520800</v>
      </c>
      <c r="O21" s="65" t="n">
        <f aca="false">+G21/$G$28*$O$28</f>
        <v>0</v>
      </c>
      <c r="Q21" s="50"/>
      <c r="S21" s="71"/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4" t="n">
        <f aca="false">SUM(E8:E21)</f>
        <v>9441193.71453334</v>
      </c>
      <c r="F22" s="76"/>
      <c r="G22" s="74" t="n">
        <f aca="false">SUM(G8:G21)</f>
        <v>8300316.41913128</v>
      </c>
      <c r="K22" s="0" t="s">
        <v>258</v>
      </c>
      <c r="L22" s="50" t="n">
        <v>96000</v>
      </c>
      <c r="M22" s="0" t="n">
        <v>8</v>
      </c>
      <c r="N22" s="50" t="n">
        <f aca="false">L22*M22</f>
        <v>768000</v>
      </c>
      <c r="O22" s="74" t="n">
        <f aca="false">SUM(O8:O21)</f>
        <v>212828.626131571</v>
      </c>
      <c r="Q22" s="50"/>
      <c r="S22" s="71"/>
    </row>
    <row r="23" customFormat="false" ht="12.75" hidden="false" customHeight="false" outlineLevel="0" collapsed="false">
      <c r="K23" s="0" t="s">
        <v>259</v>
      </c>
      <c r="L23" s="50" t="n">
        <v>120000</v>
      </c>
      <c r="M23" s="0" t="n">
        <v>3</v>
      </c>
      <c r="N23" s="50" t="n">
        <f aca="false">L23*M23</f>
        <v>360000</v>
      </c>
      <c r="Q23" s="50"/>
      <c r="S23" s="71"/>
    </row>
    <row r="24" customFormat="false" ht="12.75" hidden="false" customHeight="false" outlineLevel="0" collapsed="false">
      <c r="B24" s="73" t="s">
        <v>7</v>
      </c>
      <c r="C24" s="109"/>
      <c r="E24" s="109" t="n">
        <v>114</v>
      </c>
      <c r="F24" s="3"/>
      <c r="G24" s="109" t="n">
        <f aca="false">SUM(M16:M18,M20:M26)</f>
        <v>36</v>
      </c>
      <c r="K24" s="0" t="s">
        <v>260</v>
      </c>
      <c r="L24" s="50" t="n">
        <v>156000</v>
      </c>
      <c r="M24" s="0" t="n">
        <v>0</v>
      </c>
      <c r="N24" s="50" t="n">
        <f aca="false">L24*M24</f>
        <v>0</v>
      </c>
      <c r="O24" s="77" t="n">
        <f aca="false">SUM(U15:U19,U22:U26)</f>
        <v>0</v>
      </c>
      <c r="Q24" s="50"/>
      <c r="S24" s="71"/>
    </row>
    <row r="25" customFormat="false" ht="12.75" hidden="false" customHeight="false" outlineLevel="0" collapsed="false">
      <c r="K25" s="0" t="s">
        <v>261</v>
      </c>
      <c r="L25" s="50" t="n">
        <v>204000</v>
      </c>
      <c r="M25" s="0" t="n">
        <v>1</v>
      </c>
      <c r="N25" s="50" t="n">
        <f aca="false">L25*M25</f>
        <v>204000</v>
      </c>
      <c r="O25" s="65"/>
      <c r="Q25" s="50"/>
      <c r="S25" s="71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F26" s="3"/>
      <c r="G26" s="109" t="n">
        <f aca="false">SUM(M19)</f>
        <v>3</v>
      </c>
      <c r="K26" s="0" t="s">
        <v>262</v>
      </c>
      <c r="L26" s="50" t="n">
        <v>240000</v>
      </c>
      <c r="M26" s="0" t="n">
        <v>0</v>
      </c>
      <c r="N26" s="50" t="n">
        <f aca="false">L26*M26</f>
        <v>0</v>
      </c>
      <c r="O26" s="77" t="n">
        <f aca="false">+U20+U21</f>
        <v>0</v>
      </c>
      <c r="Q26" s="50"/>
      <c r="S26" s="71"/>
    </row>
    <row r="27" customFormat="false" ht="12.75" hidden="false" customHeight="false" outlineLevel="0" collapsed="false">
      <c r="M27" s="50" t="n">
        <f aca="false">SUM(M16:M26)</f>
        <v>39</v>
      </c>
      <c r="N27" s="50" t="n">
        <f aca="false">SUM(N16:N26)</f>
        <v>2965200</v>
      </c>
      <c r="Q27" s="50"/>
      <c r="S27" s="71"/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118</v>
      </c>
      <c r="F28" s="3"/>
      <c r="G28" s="109" t="n">
        <f aca="false">SUM(G24:G27)</f>
        <v>39</v>
      </c>
      <c r="O28" s="77" t="n">
        <v>1</v>
      </c>
      <c r="Q28" s="50"/>
      <c r="R28" s="50"/>
    </row>
    <row r="29" customFormat="false" ht="12.75" hidden="false" customHeight="false" outlineLevel="0" collapsed="false">
      <c r="B29" s="73"/>
      <c r="K29" s="0" t="s">
        <v>249</v>
      </c>
      <c r="M29" s="78"/>
      <c r="N29" s="78" t="n">
        <v>0.2</v>
      </c>
      <c r="Q29" s="50"/>
      <c r="R29" s="78"/>
      <c r="S29" s="78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F30" s="65"/>
      <c r="G30" s="65"/>
      <c r="Q30" s="50"/>
      <c r="R30" s="50"/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  <c r="F31" s="65"/>
      <c r="G31" s="65"/>
      <c r="N31" s="50" t="n">
        <f aca="false">N27*1.2</f>
        <v>3558240</v>
      </c>
      <c r="Q31" s="50"/>
      <c r="R31" s="50"/>
      <c r="S31" s="50"/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F32" s="65"/>
      <c r="G32" s="65"/>
      <c r="Q32" s="50"/>
      <c r="R32" s="50"/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  <c r="F33" s="65"/>
      <c r="G33" s="65"/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  <c r="F34" s="65"/>
      <c r="G34" s="65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  <c r="F35" s="65"/>
      <c r="G35" s="65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F36" s="65"/>
      <c r="G36" s="65"/>
      <c r="J36" s="17" t="s">
        <v>164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  <c r="F37" s="65"/>
      <c r="G37" s="65"/>
    </row>
    <row r="38" customFormat="false" ht="12.75" hidden="false" customHeight="false" outlineLevel="0" collapsed="false">
      <c r="A38" s="63"/>
      <c r="B38" s="64"/>
      <c r="C38" s="65"/>
      <c r="E38" s="65"/>
      <c r="F38" s="65"/>
      <c r="G38" s="65"/>
      <c r="J38" s="0" t="s">
        <v>263</v>
      </c>
    </row>
    <row r="43" customFormat="false" ht="12.75" hidden="false" customHeight="false" outlineLevel="0" collapsed="false">
      <c r="C43" s="103" t="n">
        <f aca="false">C22+C30+C31+C32+C33+C34+C35+C36+C37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174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985248</v>
      </c>
      <c r="M8" s="71"/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v>178200</v>
      </c>
      <c r="I10" s="59"/>
      <c r="L10" s="60"/>
      <c r="M10" s="71"/>
      <c r="N10" s="82"/>
      <c r="O10" s="82"/>
      <c r="P10" s="82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35640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5</v>
      </c>
      <c r="L11" s="60" t="n">
        <f aca="false">J11*K11</f>
        <v>241350.90625</v>
      </c>
      <c r="M11" s="71"/>
      <c r="N11" s="82"/>
      <c r="O11" s="82"/>
      <c r="P11" s="82"/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10000+4000</f>
        <v>14000</v>
      </c>
      <c r="I12" s="59"/>
      <c r="L12" s="60"/>
      <c r="M12" s="71"/>
      <c r="N12" s="82"/>
      <c r="O12" s="82"/>
      <c r="P12" s="82"/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14000</v>
      </c>
      <c r="I13" s="68" t="s">
        <v>129</v>
      </c>
      <c r="J13" s="69"/>
      <c r="K13" s="69"/>
      <c r="L13" s="70" t="n">
        <f aca="false">L8+L11</f>
        <v>1226598.90625</v>
      </c>
      <c r="M13" s="71"/>
      <c r="N13" s="82"/>
      <c r="O13" s="82"/>
      <c r="P13" s="82"/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2000</v>
      </c>
      <c r="M14" s="71"/>
      <c r="N14" s="82"/>
      <c r="O14" s="82"/>
      <c r="P14" s="82"/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8000</v>
      </c>
      <c r="M15" s="71"/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M16" s="71"/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98.3333333333333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M17" s="71"/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-0.0846666666664532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M18" s="71"/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1820.172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M19" s="71"/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0.266666666666667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M20" s="71"/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2400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M21" s="71"/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2</v>
      </c>
      <c r="L22" s="50" t="n">
        <f aca="false">J22*K22</f>
        <v>178200</v>
      </c>
      <c r="M22" s="71"/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256158.687333333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M23" s="76"/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0</v>
      </c>
      <c r="L24" s="50" t="n">
        <f aca="false">J24*K24</f>
        <v>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2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5</v>
      </c>
      <c r="L28" s="50" t="n">
        <f aca="false">SUM(L16:L27)*1.2</f>
        <v>821040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2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985248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5</v>
      </c>
      <c r="L34" s="80" t="n">
        <f aca="false">+J34*K34</f>
        <v>241350.90625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51" t="str">
        <f aca="false">'[21]Team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customFormat="false" ht="18" hidden="false" customHeight="false" outlineLevel="0" collapsed="false">
      <c r="B2" s="51" t="str">
        <f aca="false">'[21]Pull Sheet'!E9</f>
        <v>Canada Support</v>
      </c>
      <c r="C2" s="51"/>
      <c r="D2" s="51"/>
      <c r="E2" s="51"/>
      <c r="F2" s="51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customFormat="false" ht="18.75" hidden="false" customHeight="false" outlineLevel="0" collapsed="false">
      <c r="B3" s="51" t="s">
        <v>1</v>
      </c>
      <c r="C3" s="51"/>
      <c r="D3" s="51"/>
      <c r="E3" s="51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101" t="n">
        <v>2002</v>
      </c>
      <c r="J6" s="88"/>
      <c r="K6" s="27"/>
      <c r="L6" s="27"/>
      <c r="M6" s="89"/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17"/>
      <c r="J7" s="88"/>
      <c r="K7" s="27"/>
      <c r="L7" s="27"/>
      <c r="M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'[21]Team Report'!BA25</f>
        <v>3097005.18</v>
      </c>
      <c r="E8" s="65" t="n">
        <f aca="false">(C8/9)*12</f>
        <v>4129340.24</v>
      </c>
      <c r="F8" s="65" t="n">
        <f aca="false">((SUM(M15:M20,M24:M26,M30:M35,M39:M41,M45,M48:M49)-1205200)*1.2)*0.917</f>
        <v>2200800</v>
      </c>
      <c r="J8" s="88" t="s">
        <v>120</v>
      </c>
      <c r="K8" s="50" t="n">
        <v>0</v>
      </c>
      <c r="L8" s="27"/>
      <c r="M8" s="92" t="n">
        <f aca="false">M21+M27+M36+M42+M46+M50</f>
        <v>3846240</v>
      </c>
      <c r="O8" s="65" t="n">
        <f aca="false">+F8/$F$28*$O$28</f>
        <v>66690.9090909091</v>
      </c>
    </row>
    <row r="9" customFormat="false" ht="12.75" hidden="false" customHeight="false" outlineLevel="0" collapsed="false">
      <c r="B9" s="64" t="s">
        <v>192</v>
      </c>
      <c r="C9" s="65" t="n">
        <v>0</v>
      </c>
      <c r="E9" s="65" t="n">
        <f aca="false">(C9/9)*12</f>
        <v>0</v>
      </c>
      <c r="F9" s="65" t="n">
        <f aca="false">(((D9/9)*12)*1.2)*0.917</f>
        <v>0</v>
      </c>
      <c r="J9" s="88"/>
      <c r="K9" s="27"/>
      <c r="L9" s="27"/>
      <c r="M9" s="89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'[21]Team Report'!BA26</f>
        <v>405010.4</v>
      </c>
      <c r="E10" s="65" t="n">
        <f aca="false">(C10/9)*12</f>
        <v>540013.866666667</v>
      </c>
      <c r="F10" s="65" t="n">
        <f aca="false">((+F8*0.2-100)*1.2)*0.917</f>
        <v>484242.024</v>
      </c>
      <c r="J10" s="88" t="s">
        <v>83</v>
      </c>
      <c r="K10" s="80" t="n">
        <f aca="false">(E11+E12+E13+E14+E15+E16+E17+E18+E19+E20+E21)/E28</f>
        <v>28886.1517241379</v>
      </c>
      <c r="L10" s="27" t="n">
        <f aca="false">+L21+L27+L36+L42+L46+L50</f>
        <v>32</v>
      </c>
      <c r="M10" s="92" t="n">
        <f aca="false">K10*L10</f>
        <v>924356.855172413</v>
      </c>
      <c r="O10" s="65" t="n">
        <f aca="false">+F10/$F$28*$O$28</f>
        <v>14674.0007272727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'[21]Team Report'!BA27</f>
        <v>309437.02</v>
      </c>
      <c r="E11" s="67" t="n">
        <f aca="false">(C11/9)*12*1.2</f>
        <v>495099.232</v>
      </c>
      <c r="F11" s="65" t="n">
        <f aca="false">((+E11/$E$28*$L$10)*1.2)*0.917</f>
        <v>200388.853293903</v>
      </c>
      <c r="J11" s="88"/>
      <c r="K11" s="27"/>
      <c r="L11" s="27"/>
      <c r="M11" s="89"/>
      <c r="O11" s="65" t="n">
        <f aca="false">+F11/$F$28*$O$28</f>
        <v>6072.38949375465</v>
      </c>
    </row>
    <row r="12" customFormat="false" ht="13.5" hidden="false" customHeight="false" outlineLevel="0" collapsed="false">
      <c r="A12" s="63" t="s">
        <v>127</v>
      </c>
      <c r="B12" s="64" t="s">
        <v>128</v>
      </c>
      <c r="C12" s="65" t="n">
        <f aca="false">'[21]Team Report'!BA28</f>
        <v>270791.23</v>
      </c>
      <c r="E12" s="67" t="n">
        <f aca="false">(C12/9)*12*1.2</f>
        <v>433265.968</v>
      </c>
      <c r="F12" s="65" t="n">
        <f aca="false">((+E12/$E$28*$L$10)*1.2)*0.917</f>
        <v>175362.159517131</v>
      </c>
      <c r="J12" s="93" t="s">
        <v>129</v>
      </c>
      <c r="K12" s="94"/>
      <c r="L12" s="94"/>
      <c r="M12" s="95" t="n">
        <f aca="false">M8+M10</f>
        <v>4770596.85517241</v>
      </c>
      <c r="O12" s="65" t="n">
        <f aca="false">+F12/$F$28*$O$28</f>
        <v>5314.00483385246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'[21]Team Report'!BA32-C38</f>
        <v>-0.420000000856817</v>
      </c>
      <c r="E13" s="67" t="n">
        <f aca="false">(C13/9)*12*1.2</f>
        <v>-0.672000001370907</v>
      </c>
      <c r="F13" s="65" t="n">
        <v>0</v>
      </c>
      <c r="N13" s="71"/>
      <c r="O13" s="65" t="n">
        <f aca="false">+F13/$F$28*$O$28</f>
        <v>0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'[21]Team Report'!BA33</f>
        <v>132382.8</v>
      </c>
      <c r="E14" s="67" t="n">
        <f aca="false">(C14/9)*12*1.2</f>
        <v>211812.48</v>
      </c>
      <c r="F14" s="65" t="n">
        <f aca="false">((+E14/$E$28*$L$10)*1.2)*0.917</f>
        <v>85730.0056982069</v>
      </c>
      <c r="J14" s="17" t="s">
        <v>286</v>
      </c>
      <c r="N14" s="50"/>
      <c r="O14" s="65" t="n">
        <f aca="false">+F14/$F$28*$O$28</f>
        <v>2597.87896055172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'[21]Team Report'!BA34</f>
        <v>0</v>
      </c>
      <c r="E15" s="67" t="n">
        <f aca="false">(C15/9)*12*1.2</f>
        <v>0</v>
      </c>
      <c r="F15" s="65" t="n">
        <f aca="false">((+E15/$E$28*$L$10)*1.2)*0.917</f>
        <v>0</v>
      </c>
      <c r="J15" s="0" t="s">
        <v>193</v>
      </c>
      <c r="K15" s="50" t="n">
        <v>36000</v>
      </c>
      <c r="L15" s="0" t="n">
        <v>1</v>
      </c>
      <c r="M15" s="50" t="n">
        <f aca="false">K15*L15</f>
        <v>36000</v>
      </c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'[21]Team Report'!BA35</f>
        <v>36209.44</v>
      </c>
      <c r="E16" s="67" t="n">
        <f aca="false">(C16/9)*12*1.2</f>
        <v>57935.104</v>
      </c>
      <c r="F16" s="65" t="n">
        <f aca="false">((+E16/$E$28*$L$10)*1.2)*0.917</f>
        <v>23448.933679669</v>
      </c>
      <c r="J16" s="0" t="s">
        <v>142</v>
      </c>
      <c r="K16" s="50" t="n">
        <v>54000</v>
      </c>
      <c r="L16" s="0" t="n">
        <v>2</v>
      </c>
      <c r="M16" s="50" t="n">
        <f aca="false">K16*L16</f>
        <v>108000</v>
      </c>
      <c r="O16" s="65" t="n">
        <f aca="false">+F16/$F$28*$O$28</f>
        <v>710.573747868757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'[21]Team Report'!BA36</f>
        <v>489327.92</v>
      </c>
      <c r="E17" s="67" t="n">
        <f aca="false">(C17/9)*12*1.2</f>
        <v>782924.672</v>
      </c>
      <c r="F17" s="65" t="n">
        <f aca="false">((+E17/$E$28*$L$10)*1.2)*0.917</f>
        <v>316884.711381628</v>
      </c>
      <c r="J17" s="0" t="s">
        <v>145</v>
      </c>
      <c r="K17" s="50" t="n">
        <v>62400</v>
      </c>
      <c r="L17" s="0" t="n">
        <f aca="false">3+1</f>
        <v>4</v>
      </c>
      <c r="M17" s="50" t="n">
        <f aca="false">K17*L17</f>
        <v>249600</v>
      </c>
      <c r="N17" s="0" t="s">
        <v>287</v>
      </c>
      <c r="O17" s="65" t="n">
        <f aca="false">+F17/$F$28*$O$28</f>
        <v>9602.56701156448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'[21]Team Report'!BA37</f>
        <v>23628.12</v>
      </c>
      <c r="E18" s="67" t="n">
        <f aca="false">(C18/9)*12*1.2</f>
        <v>37804.992</v>
      </c>
      <c r="F18" s="65" t="n">
        <f aca="false">((+E18/$E$28*$L$10)*1.2)*0.917</f>
        <v>15301.3749689379</v>
      </c>
      <c r="J18" s="0" t="s">
        <v>148</v>
      </c>
      <c r="K18" s="50" t="n">
        <v>79200</v>
      </c>
      <c r="L18" s="0" t="n">
        <v>2</v>
      </c>
      <c r="M18" s="50" t="n">
        <f aca="false">K18*L18</f>
        <v>158400</v>
      </c>
      <c r="O18" s="65" t="n">
        <f aca="false">+F18/$F$28*$O$28</f>
        <v>463.678029361756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'[21]Team Report'!BA38</f>
        <v>0</v>
      </c>
      <c r="E19" s="67" t="n">
        <f aca="false">(C19/9)*12*1.2</f>
        <v>0</v>
      </c>
      <c r="F19" s="65" t="n">
        <f aca="false">((+E19/$E$28*$L$10)*1.2)*0.917</f>
        <v>0</v>
      </c>
      <c r="J19" s="0" t="s">
        <v>157</v>
      </c>
      <c r="K19" s="50" t="n">
        <v>96000</v>
      </c>
      <c r="L19" s="0" t="n">
        <v>2</v>
      </c>
      <c r="M19" s="50" t="n">
        <f aca="false">K19*L19</f>
        <v>192000</v>
      </c>
      <c r="O19" s="65" t="n">
        <f aca="false">+F19/$F$28*$O$28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'[21]Team Report'!BA42</f>
        <v>308878.27</v>
      </c>
      <c r="E20" s="67" t="n">
        <f aca="false">(C20/9)*12*1.2</f>
        <v>494205.232</v>
      </c>
      <c r="F20" s="65" t="n">
        <f aca="false">((+E20/$E$28*$L$10)*1.2)*0.917</f>
        <v>200027.011418041</v>
      </c>
      <c r="J20" s="0" t="s">
        <v>160</v>
      </c>
      <c r="K20" s="50" t="n">
        <v>216000</v>
      </c>
      <c r="L20" s="0" t="n">
        <v>1</v>
      </c>
      <c r="M20" s="50" t="n">
        <f aca="false">K20*L20</f>
        <v>216000</v>
      </c>
      <c r="O20" s="65" t="n">
        <f aca="false">+F20/$F$28*$O$28</f>
        <v>6061.4245884255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'[21]Team Report'!BA44</f>
        <v>30.12</v>
      </c>
      <c r="E21" s="67" t="n">
        <f aca="false">(C21/9)*12*1.2</f>
        <v>48.192</v>
      </c>
      <c r="F21" s="65" t="n">
        <f aca="false">((+E21/$E$28*$L$10)*1.2)*0.917</f>
        <v>19.5054627310345</v>
      </c>
      <c r="L21" s="0" t="n">
        <f aca="false">SUM(L15:L20)</f>
        <v>12</v>
      </c>
      <c r="M21" s="50" t="n">
        <f aca="false">SUM(M15:M20)*1.2</f>
        <v>1152000</v>
      </c>
      <c r="O21" s="65" t="n">
        <f aca="false">+F21/$F$28*$O$28</f>
        <v>0.591074628213166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5072700.08</v>
      </c>
      <c r="E22" s="74" t="n">
        <f aca="false">SUM(E8:E21)</f>
        <v>7182449.30666667</v>
      </c>
      <c r="F22" s="74" t="n">
        <f aca="false">SUM(F8:F21)</f>
        <v>3702204.57942025</v>
      </c>
      <c r="O22" s="96" t="n">
        <f aca="false">SUM(O8:O21)</f>
        <v>112188.017558189</v>
      </c>
    </row>
    <row r="23" customFormat="false" ht="12.75" hidden="false" customHeight="false" outlineLevel="0" collapsed="false">
      <c r="J23" s="17" t="s">
        <v>288</v>
      </c>
    </row>
    <row r="24" customFormat="false" ht="12.75" hidden="false" customHeight="false" outlineLevel="0" collapsed="false">
      <c r="B24" s="73" t="s">
        <v>7</v>
      </c>
      <c r="C24" s="65"/>
      <c r="E24" s="77" t="n">
        <v>82</v>
      </c>
      <c r="F24" s="77" t="n">
        <v>32</v>
      </c>
      <c r="J24" s="0" t="s">
        <v>142</v>
      </c>
      <c r="K24" s="50" t="n">
        <v>60000</v>
      </c>
      <c r="L24" s="0" t="n">
        <v>2</v>
      </c>
      <c r="M24" s="50" t="n">
        <f aca="false">K24*L24</f>
        <v>120000</v>
      </c>
      <c r="O24" s="77" t="n">
        <f aca="false">SUM(U15:U19,U22:U26)</f>
        <v>0</v>
      </c>
    </row>
    <row r="25" customFormat="false" ht="12.75" hidden="false" customHeight="false" outlineLevel="0" collapsed="false">
      <c r="C25" s="65"/>
      <c r="E25" s="65"/>
      <c r="F25" s="65"/>
      <c r="J25" s="0" t="s">
        <v>145</v>
      </c>
      <c r="K25" s="50" t="n">
        <v>78000</v>
      </c>
      <c r="L25" s="0" t="n">
        <v>1</v>
      </c>
      <c r="M25" s="50" t="n">
        <f aca="false">K25*L25</f>
        <v>78000</v>
      </c>
      <c r="O25" s="65"/>
    </row>
    <row r="26" customFormat="false" ht="12.75" hidden="false" customHeight="false" outlineLevel="0" collapsed="false">
      <c r="B26" s="73" t="s">
        <v>289</v>
      </c>
      <c r="C26" s="65"/>
      <c r="E26" s="77" t="n">
        <v>5</v>
      </c>
      <c r="F26" s="77" t="n">
        <v>1</v>
      </c>
      <c r="J26" s="0" t="s">
        <v>148</v>
      </c>
      <c r="K26" s="50" t="n">
        <v>102000</v>
      </c>
      <c r="L26" s="0" t="n">
        <v>0</v>
      </c>
      <c r="M26" s="50" t="n">
        <f aca="false">K26*L26</f>
        <v>0</v>
      </c>
      <c r="O26" s="77" t="n">
        <f aca="false">SUM(U20:U21)</f>
        <v>0</v>
      </c>
    </row>
    <row r="27" customFormat="false" ht="12.75" hidden="false" customHeight="false" outlineLevel="0" collapsed="false">
      <c r="L27" s="0" t="n">
        <f aca="false">SUM(L24:L26)</f>
        <v>3</v>
      </c>
      <c r="M27" s="50" t="n">
        <f aca="false">SUM(M24:M26)*1.2</f>
        <v>237600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87</v>
      </c>
      <c r="F28" s="77" t="n">
        <f aca="false">+F26+F24</f>
        <v>33</v>
      </c>
      <c r="G28" s="65"/>
      <c r="H28" s="50"/>
      <c r="O28" s="77" t="n">
        <v>1</v>
      </c>
    </row>
    <row r="29" customFormat="false" ht="11.25" hidden="false" customHeight="true" outlineLevel="0" collapsed="false">
      <c r="J29" s="17" t="s">
        <v>290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'[21]Team Report'!BA29</f>
        <v>0</v>
      </c>
      <c r="E30" s="65" t="n">
        <f aca="false">(C30/9)*12</f>
        <v>0</v>
      </c>
      <c r="F30" s="65"/>
      <c r="J30" s="0" t="s">
        <v>142</v>
      </c>
      <c r="K30" s="50" t="n">
        <v>49200</v>
      </c>
      <c r="L30" s="0" t="n">
        <v>0</v>
      </c>
      <c r="M30" s="50" t="n">
        <f aca="false">K30*L30</f>
        <v>0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'[21]Team Report'!BA30</f>
        <v>0</v>
      </c>
      <c r="E31" s="65" t="n">
        <f aca="false">(C31/9)*12</f>
        <v>0</v>
      </c>
      <c r="F31" s="65"/>
      <c r="J31" s="0" t="s">
        <v>145</v>
      </c>
      <c r="K31" s="50" t="n">
        <v>62400</v>
      </c>
      <c r="L31" s="0" t="n">
        <v>2</v>
      </c>
      <c r="M31" s="50" t="n">
        <f aca="false">K31*L31</f>
        <v>124800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'[21]Team Report'!BA31</f>
        <v>0</v>
      </c>
      <c r="E32" s="65" t="n">
        <f aca="false">(C32/9)*12</f>
        <v>0</v>
      </c>
      <c r="F32" s="65"/>
      <c r="J32" s="0" t="s">
        <v>148</v>
      </c>
      <c r="K32" s="50" t="n">
        <v>74400</v>
      </c>
      <c r="L32" s="0" t="n">
        <f aca="false">2+1</f>
        <v>3</v>
      </c>
      <c r="M32" s="50" t="n">
        <f aca="false">K32*L32</f>
        <v>223200</v>
      </c>
      <c r="N32" s="0" t="s">
        <v>291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'[21]Team Report'!BA39</f>
        <v>0</v>
      </c>
      <c r="E33" s="65" t="n">
        <f aca="false">(C33/9)*12</f>
        <v>0</v>
      </c>
      <c r="F33" s="65"/>
      <c r="J33" s="0" t="s">
        <v>157</v>
      </c>
      <c r="K33" s="50" t="n">
        <v>90000</v>
      </c>
      <c r="L33" s="0" t="n">
        <v>1</v>
      </c>
      <c r="M33" s="50" t="n">
        <f aca="false">K33*L33</f>
        <v>90000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'[21]Team Report'!BA40</f>
        <v>25924.2</v>
      </c>
      <c r="E34" s="65" t="n">
        <f aca="false">(C34/9)*12</f>
        <v>34565.6</v>
      </c>
      <c r="F34" s="65"/>
      <c r="J34" s="0" t="s">
        <v>158</v>
      </c>
      <c r="K34" s="50" t="n">
        <v>120000</v>
      </c>
      <c r="L34" s="0" t="n">
        <v>1</v>
      </c>
      <c r="M34" s="50" t="n">
        <f aca="false">K34*L34</f>
        <v>120000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'[21]Team Report'!BA41</f>
        <v>1904.73</v>
      </c>
      <c r="E35" s="65" t="n">
        <f aca="false">(C35/9)*12</f>
        <v>2539.64</v>
      </c>
      <c r="F35" s="65"/>
      <c r="J35" s="0" t="s">
        <v>160</v>
      </c>
      <c r="K35" s="50" t="n">
        <v>216000</v>
      </c>
      <c r="L35" s="0" t="n">
        <v>1</v>
      </c>
      <c r="M35" s="50" t="n">
        <f aca="false">K35*L35</f>
        <v>216000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'[21]Team Report'!BA43</f>
        <v>-612901.88</v>
      </c>
      <c r="E36" s="65" t="n">
        <f aca="false">(C36/9)*12</f>
        <v>-817202.506666667</v>
      </c>
      <c r="F36" s="65"/>
      <c r="L36" s="0" t="n">
        <f aca="false">SUM(L30:L35)</f>
        <v>8</v>
      </c>
      <c r="M36" s="50" t="n">
        <f aca="false">SUM(M30:M35)*1.2</f>
        <v>928800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'[21]Team Report'!BA45</f>
        <v>0</v>
      </c>
      <c r="E37" s="65" t="n">
        <f aca="false">(C37/9)*12</f>
        <v>0</v>
      </c>
      <c r="F37" s="65"/>
    </row>
    <row r="38" customFormat="false" ht="12.75" hidden="true" customHeight="false" outlineLevel="0" collapsed="false">
      <c r="A38" s="63"/>
      <c r="B38" s="64" t="s">
        <v>131</v>
      </c>
      <c r="C38" s="65" t="n">
        <v>5703580</v>
      </c>
      <c r="E38" s="65"/>
      <c r="F38" s="65"/>
      <c r="J38" s="17" t="s">
        <v>78</v>
      </c>
    </row>
    <row r="39" customFormat="false" ht="12.75" hidden="true" customHeight="false" outlineLevel="0" collapsed="false">
      <c r="J39" s="0" t="s">
        <v>139</v>
      </c>
      <c r="K39" s="50" t="n">
        <v>52800</v>
      </c>
      <c r="L39" s="0" t="n">
        <v>1</v>
      </c>
      <c r="M39" s="50" t="n">
        <f aca="false">K39*L39</f>
        <v>52800</v>
      </c>
    </row>
    <row r="40" customFormat="false" ht="12.75" hidden="true" customHeight="false" outlineLevel="0" collapsed="false">
      <c r="C40" s="103" t="n">
        <f aca="false">C22+C30+C31+C32+C33+C34+C35+C36+C37</f>
        <v>4487627.13</v>
      </c>
      <c r="J40" s="0" t="s">
        <v>292</v>
      </c>
      <c r="K40" s="50" t="n">
        <v>195600</v>
      </c>
      <c r="L40" s="0" t="n">
        <f aca="false">2+1</f>
        <v>3</v>
      </c>
      <c r="M40" s="50" t="n">
        <f aca="false">K40*L40</f>
        <v>586800</v>
      </c>
      <c r="N40" s="0" t="s">
        <v>293</v>
      </c>
    </row>
    <row r="41" customFormat="false" ht="12.75" hidden="true" customHeight="false" outlineLevel="0" collapsed="false">
      <c r="J41" s="0" t="s">
        <v>160</v>
      </c>
      <c r="K41" s="50" t="n">
        <v>217200</v>
      </c>
      <c r="L41" s="0" t="n">
        <v>1</v>
      </c>
      <c r="M41" s="50" t="n">
        <f aca="false">K41*L41</f>
        <v>217200</v>
      </c>
    </row>
    <row r="42" customFormat="false" ht="12.75" hidden="true" customHeight="false" outlineLevel="0" collapsed="false">
      <c r="L42" s="0" t="n">
        <f aca="false">SUM(L39:L41)</f>
        <v>5</v>
      </c>
      <c r="M42" s="50" t="n">
        <f aca="false">SUM(M39:M41)*1.2</f>
        <v>1028160</v>
      </c>
    </row>
    <row r="43" customFormat="false" ht="12.75" hidden="true" customHeight="false" outlineLevel="0" collapsed="false">
      <c r="A43" s="17" t="s">
        <v>164</v>
      </c>
      <c r="B43" s="50"/>
      <c r="C43" s="50"/>
      <c r="D43" s="50"/>
    </row>
    <row r="44" customFormat="false" ht="12.75" hidden="true" customHeight="false" outlineLevel="0" collapsed="false">
      <c r="B44" s="50"/>
      <c r="C44" s="50"/>
      <c r="D44" s="50"/>
      <c r="J44" s="17" t="s">
        <v>139</v>
      </c>
    </row>
    <row r="45" customFormat="false" ht="12.75" hidden="true" customHeight="false" outlineLevel="0" collapsed="false">
      <c r="A45" s="79" t="s">
        <v>215</v>
      </c>
      <c r="B45" s="80" t="s">
        <v>166</v>
      </c>
      <c r="C45" s="80" t="s">
        <v>167</v>
      </c>
      <c r="E45" s="80" t="s">
        <v>110</v>
      </c>
      <c r="F45" s="80"/>
      <c r="G45" s="80" t="s">
        <v>168</v>
      </c>
      <c r="J45" s="0" t="s">
        <v>139</v>
      </c>
      <c r="K45" s="50" t="n">
        <v>52800</v>
      </c>
      <c r="L45" s="0" t="n">
        <v>3</v>
      </c>
      <c r="M45" s="50" t="n">
        <f aca="false">K45*L45</f>
        <v>158400</v>
      </c>
    </row>
    <row r="46" customFormat="false" ht="12.75" hidden="true" customHeight="false" outlineLevel="0" collapsed="false">
      <c r="A46" s="81" t="n">
        <f aca="false">SUM(E11:E21)</f>
        <v>2513095.2</v>
      </c>
      <c r="B46" s="111" t="n">
        <f aca="false">+E28</f>
        <v>87</v>
      </c>
      <c r="C46" s="80" t="n">
        <f aca="false">+A46/B46</f>
        <v>28886.1517241379</v>
      </c>
      <c r="D46" s="80"/>
      <c r="E46" s="111" t="n">
        <f aca="false">+L10</f>
        <v>32</v>
      </c>
      <c r="F46" s="111"/>
      <c r="G46" s="50" t="n">
        <f aca="false">+E46*C46</f>
        <v>924356.855172413</v>
      </c>
      <c r="L46" s="0" t="n">
        <f aca="false">SUM(L45)</f>
        <v>3</v>
      </c>
      <c r="M46" s="50" t="n">
        <f aca="false">SUM(M45)*1.2</f>
        <v>190080</v>
      </c>
    </row>
    <row r="47" customFormat="false" ht="12.75" hidden="true" customHeight="false" outlineLevel="0" collapsed="false">
      <c r="J47" s="17" t="s">
        <v>294</v>
      </c>
    </row>
    <row r="48" customFormat="false" ht="12.75" hidden="true" customHeight="false" outlineLevel="0" collapsed="false">
      <c r="J48" s="0" t="s">
        <v>157</v>
      </c>
      <c r="K48" s="50" t="n">
        <v>90000</v>
      </c>
      <c r="L48" s="0" t="n">
        <v>1</v>
      </c>
      <c r="M48" s="50" t="n">
        <f aca="false">K48*L48</f>
        <v>90000</v>
      </c>
    </row>
    <row r="49" customFormat="false" ht="12.75" hidden="true" customHeight="false" outlineLevel="0" collapsed="false">
      <c r="J49" s="0" t="s">
        <v>158</v>
      </c>
      <c r="K49" s="50" t="n">
        <v>168000</v>
      </c>
      <c r="L49" s="0" t="n">
        <v>1</v>
      </c>
      <c r="M49" s="50" t="n">
        <f aca="false">K49*L49</f>
        <v>168000</v>
      </c>
    </row>
    <row r="50" customFormat="false" ht="12.75" hidden="true" customHeight="false" outlineLevel="0" collapsed="false">
      <c r="L50" s="0" t="n">
        <f aca="false">SUM(L49)</f>
        <v>1</v>
      </c>
      <c r="M50" s="50" t="n">
        <f aca="false">SUM(M48:M49)*1.2</f>
        <v>309600</v>
      </c>
    </row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customFormat="false" ht="18" hidden="false" customHeight="false" outlineLevel="0" collapsed="false">
      <c r="B2" s="51" t="s">
        <v>295</v>
      </c>
      <c r="C2" s="51"/>
      <c r="D2" s="51"/>
      <c r="E2" s="51"/>
      <c r="F2" s="51"/>
      <c r="G2" s="51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customFormat="false" ht="13.5" hidden="false" customHeight="false" outlineLevel="0" collapsed="false">
      <c r="I4" s="105" t="s">
        <v>70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101" t="n">
        <v>2001</v>
      </c>
      <c r="G6" s="101" t="n">
        <v>2002</v>
      </c>
      <c r="I6" s="88"/>
      <c r="J6" s="80" t="s">
        <v>109</v>
      </c>
      <c r="K6" s="80" t="s">
        <v>110</v>
      </c>
      <c r="L6" s="106" t="s">
        <v>232</v>
      </c>
      <c r="M6" s="27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I7" s="88"/>
      <c r="L7" s="60"/>
      <c r="M7" s="27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v>0</v>
      </c>
      <c r="E8" s="65" t="n">
        <v>2625993</v>
      </c>
      <c r="G8" s="65" t="n">
        <f aca="false">((L27-G9)*1.2)*0.917</f>
        <v>1867397.462784</v>
      </c>
      <c r="I8" s="88"/>
      <c r="L8" s="60"/>
      <c r="M8" s="27"/>
      <c r="O8" s="65" t="n">
        <f aca="false">+G8/$G$28*$O$28</f>
        <v>248986.3283712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G9" s="65" t="n">
        <f aca="false">((L19)*1.2)*0.917</f>
        <v>63383.04</v>
      </c>
      <c r="I9" s="88"/>
      <c r="L9" s="60"/>
      <c r="M9" s="27"/>
      <c r="O9" s="65" t="n">
        <f aca="false">+G9/$G$28*$O$28</f>
        <v>8451.072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v>0</v>
      </c>
      <c r="E10" s="65" t="n">
        <f aca="false">247074+290236+2376</f>
        <v>539686</v>
      </c>
      <c r="G10" s="65" t="n">
        <f aca="false">((L31-L27)*1.2)*0.917</f>
        <v>387428.832</v>
      </c>
      <c r="I10" s="88"/>
      <c r="L10" s="60"/>
      <c r="M10" s="27"/>
      <c r="O10" s="65" t="n">
        <f aca="false">+G10/$G$28*$O$28</f>
        <v>51657.1776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v>115211.17</v>
      </c>
      <c r="E11" s="67" t="n">
        <f aca="false">(C11/9)*12*1.2</f>
        <v>184337.872</v>
      </c>
      <c r="G11" s="65" t="n">
        <f aca="false">(((E11/$E$28)*$G$28)*1.2)*0.917</f>
        <v>52460.0157798621</v>
      </c>
      <c r="I11" s="88" t="s">
        <v>83</v>
      </c>
      <c r="J11" s="50" t="n">
        <f aca="false">(E11+E12+E13+E14+E15+E16+E17+E18+E19+E20+E21)/E28</f>
        <v>9254.69820689655</v>
      </c>
      <c r="K11" s="50" t="n">
        <f aca="false">K27</f>
        <v>15</v>
      </c>
      <c r="L11" s="60" t="n">
        <f aca="false">J11*K11</f>
        <v>138820.473103448</v>
      </c>
      <c r="M11" s="27"/>
      <c r="O11" s="65" t="n">
        <f aca="false">+G11/$G$28*$O$28</f>
        <v>6994.66877064828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v>158715.86</v>
      </c>
      <c r="E12" s="67" t="n">
        <f aca="false">(C12/9)*12*1.2</f>
        <v>253945.376</v>
      </c>
      <c r="G12" s="65" t="n">
        <f aca="false">(((E12/$E$28)*$G$28+9324)*1.2)*0.917</f>
        <v>82529.4809147586</v>
      </c>
      <c r="I12" s="88"/>
      <c r="L12" s="60"/>
      <c r="M12" s="27"/>
      <c r="O12" s="65" t="n">
        <f aca="false">+G12/$G$28*$O$28</f>
        <v>11003.9307886345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7" t="n">
        <f aca="false">(C13/9)*12*1.2</f>
        <v>0</v>
      </c>
      <c r="G13" s="65" t="n">
        <f aca="false">(((E13/$E$28)*$G$28+25000)*1.2)*0.917</f>
        <v>27510</v>
      </c>
      <c r="I13" s="93" t="s">
        <v>129</v>
      </c>
      <c r="J13" s="69"/>
      <c r="K13" s="69"/>
      <c r="L13" s="70" t="n">
        <f aca="false">SUM(L9:L11)</f>
        <v>138820.473103448</v>
      </c>
      <c r="M13" s="27"/>
      <c r="O13" s="65" t="n">
        <f aca="false">+G13/$G$28*$O$28</f>
        <v>3668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v>28163.05</v>
      </c>
      <c r="E14" s="67" t="n">
        <f aca="false">(C14/9)*12*1.2</f>
        <v>45060.88</v>
      </c>
      <c r="G14" s="65" t="n">
        <f aca="false">(((E14/$E$28)*$G$28)*1.2)*0.917</f>
        <v>12823.7049186207</v>
      </c>
      <c r="I14" s="27"/>
      <c r="M14" s="112"/>
      <c r="O14" s="65" t="n">
        <f aca="false">+G14/$G$28*$O$28</f>
        <v>1709.82732248276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7" t="n">
        <f aca="false">(C15/9)*12*1.2</f>
        <v>0</v>
      </c>
      <c r="G15" s="65" t="n">
        <f aca="false">(((E15/$E$28)*$G$28)*1.2)*0.917</f>
        <v>0</v>
      </c>
      <c r="I15" s="27"/>
      <c r="M15" s="27"/>
      <c r="O15" s="65" t="n">
        <f aca="false">+G15/$G$28*$O$28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7" t="n">
        <f aca="false">(C16/9)*12*1.2</f>
        <v>0</v>
      </c>
      <c r="G16" s="65" t="n">
        <f aca="false">(((E16/$E$28)*$G$28)*1.2)*0.917</f>
        <v>0</v>
      </c>
      <c r="I16" s="27" t="s">
        <v>193</v>
      </c>
      <c r="J16" s="50" t="n">
        <v>36000</v>
      </c>
      <c r="K16" s="0" t="n">
        <v>0</v>
      </c>
      <c r="L16" s="50" t="n">
        <f aca="false">J16*K16</f>
        <v>0</v>
      </c>
      <c r="O16" s="65" t="n">
        <f aca="false">+G16/$G$28*$O$28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v>1844.33</v>
      </c>
      <c r="E17" s="67" t="n">
        <f aca="false">(C17/9)*12*1.2</f>
        <v>2950.928</v>
      </c>
      <c r="G17" s="65" t="n">
        <f aca="false">(((E17/$E$28)*$G$28+237)*1.2)*0.917</f>
        <v>1100.58820634483</v>
      </c>
      <c r="I17" s="0" t="s">
        <v>255</v>
      </c>
      <c r="J17" s="50" t="n">
        <v>49200</v>
      </c>
      <c r="K17" s="0" t="n">
        <v>1</v>
      </c>
      <c r="L17" s="50" t="n">
        <f aca="false">J17*K17</f>
        <v>49200</v>
      </c>
      <c r="O17" s="65" t="n">
        <f aca="false">+G17/$G$28*$O$28</f>
        <v>146.74509417931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v>29491.73</v>
      </c>
      <c r="E18" s="67" t="n">
        <f aca="false">(C18/9)*12*1.2</f>
        <v>47186.768</v>
      </c>
      <c r="G18" s="65" t="n">
        <f aca="false">(((E18/$E$28)*$G$28+37797)*1.2)*0.917</f>
        <v>55020.5221208276</v>
      </c>
      <c r="I18" s="0" t="s">
        <v>142</v>
      </c>
      <c r="J18" s="50" t="n">
        <v>49200</v>
      </c>
      <c r="K18" s="0" t="n">
        <v>0</v>
      </c>
      <c r="L18" s="50" t="n">
        <f aca="false">J18*K18</f>
        <v>0</v>
      </c>
      <c r="O18" s="65" t="n">
        <f aca="false">+G18/$G$28*$O$28</f>
        <v>7336.06961611035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7" t="n">
        <f aca="false">(C19/9)*12*1.2</f>
        <v>0</v>
      </c>
      <c r="G19" s="65" t="n">
        <f aca="false">(((E19/$E$28)*$G$28)*1.2)*0.917</f>
        <v>0</v>
      </c>
      <c r="I19" s="0" t="s">
        <v>256</v>
      </c>
      <c r="J19" s="50" t="n">
        <v>57600</v>
      </c>
      <c r="K19" s="0" t="n">
        <v>1</v>
      </c>
      <c r="L19" s="50" t="n">
        <f aca="false">J19*K19</f>
        <v>57600</v>
      </c>
      <c r="O19" s="65" t="n">
        <f aca="false">+G19/$G$28*$O$28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v>2056.67</v>
      </c>
      <c r="E20" s="67" t="n">
        <f aca="false">(C20/9)*12*1.2</f>
        <v>3290.672</v>
      </c>
      <c r="G20" s="65" t="n">
        <f aca="false">(((E20/$E$28)*$G$28+299149)*1.2)*0.917</f>
        <v>330120.039462621</v>
      </c>
      <c r="I20" s="0" t="s">
        <v>145</v>
      </c>
      <c r="J20" s="50" t="n">
        <v>66000</v>
      </c>
      <c r="K20" s="0" t="n">
        <v>1</v>
      </c>
      <c r="L20" s="50" t="n">
        <f aca="false">J20*K20</f>
        <v>66000</v>
      </c>
      <c r="O20" s="65" t="n">
        <f aca="false">+G20/$G$28*$O$28</f>
        <v>44016.0052616828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v>0</v>
      </c>
      <c r="E21" s="65" t="n">
        <f aca="false">(C21/9)*12*1.2</f>
        <v>0</v>
      </c>
      <c r="G21" s="65" t="n">
        <f aca="false">(((E21/$E$28)*$G$28)*1.2)*0.917</f>
        <v>0</v>
      </c>
      <c r="I21" s="0" t="s">
        <v>257</v>
      </c>
      <c r="J21" s="50" t="n">
        <v>84000</v>
      </c>
      <c r="K21" s="0" t="n">
        <v>2</v>
      </c>
      <c r="L21" s="50" t="n">
        <f aca="false">J21*K21</f>
        <v>168000</v>
      </c>
      <c r="O21" s="65" t="n">
        <f aca="false">+G21/$G$28*$O$28</f>
        <v>0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335482.81</v>
      </c>
      <c r="E22" s="74" t="n">
        <f aca="false">SUM(E8:E21)</f>
        <v>3702451.496</v>
      </c>
      <c r="G22" s="74" t="n">
        <f aca="false">SUM(G8:G21)</f>
        <v>2879773.68618703</v>
      </c>
      <c r="I22" s="0" t="s">
        <v>258</v>
      </c>
      <c r="J22" s="50" t="n">
        <v>105600</v>
      </c>
      <c r="K22" s="0" t="n">
        <v>5</v>
      </c>
      <c r="L22" s="50" t="n">
        <f aca="false">J22*K22</f>
        <v>528000</v>
      </c>
      <c r="O22" s="74" t="n">
        <f aca="false">SUM(O8:O21)</f>
        <v>383969.824824938</v>
      </c>
    </row>
    <row r="23" customFormat="false" ht="12.75" hidden="false" customHeight="false" outlineLevel="0" collapsed="false">
      <c r="I23" s="0" t="s">
        <v>259</v>
      </c>
      <c r="J23" s="50" t="n">
        <v>156000</v>
      </c>
      <c r="K23" s="0" t="n">
        <v>2</v>
      </c>
      <c r="L23" s="50" t="n">
        <f aca="false">J23*K23</f>
        <v>312000</v>
      </c>
    </row>
    <row r="24" customFormat="false" ht="12.75" hidden="false" customHeight="false" outlineLevel="0" collapsed="false">
      <c r="B24" s="73" t="s">
        <v>7</v>
      </c>
      <c r="C24" s="109"/>
      <c r="E24" s="109" t="n">
        <v>58</v>
      </c>
      <c r="G24" s="109" t="n">
        <f aca="false">SUM(K16:K18,K20:K26)</f>
        <v>14</v>
      </c>
      <c r="I24" s="0" t="s">
        <v>260</v>
      </c>
      <c r="J24" s="50" t="n">
        <v>184800</v>
      </c>
      <c r="K24" s="0" t="n">
        <v>2</v>
      </c>
      <c r="L24" s="50" t="n">
        <f aca="false">J24*K24</f>
        <v>369600</v>
      </c>
      <c r="O24" s="109" t="n">
        <v>1</v>
      </c>
    </row>
    <row r="25" customFormat="false" ht="12.75" hidden="false" customHeight="false" outlineLevel="0" collapsed="false">
      <c r="I25" s="0" t="s">
        <v>261</v>
      </c>
      <c r="J25" s="50" t="n">
        <v>210000</v>
      </c>
      <c r="K25" s="0" t="n">
        <v>1</v>
      </c>
      <c r="L25" s="50" t="n">
        <f aca="false">J25*K25</f>
        <v>210000</v>
      </c>
    </row>
    <row r="26" customFormat="false" ht="12.75" hidden="false" customHeight="false" outlineLevel="0" collapsed="false">
      <c r="B26" s="73" t="s">
        <v>161</v>
      </c>
      <c r="C26" s="109"/>
      <c r="E26" s="109" t="n">
        <v>0</v>
      </c>
      <c r="G26" s="109" t="n">
        <f aca="false">SUM(K19)</f>
        <v>1</v>
      </c>
      <c r="I26" s="0" t="s">
        <v>296</v>
      </c>
      <c r="J26" s="50" t="n">
        <v>476400</v>
      </c>
      <c r="K26" s="0" t="n">
        <v>0</v>
      </c>
      <c r="L26" s="50" t="n">
        <f aca="false">J26*K26</f>
        <v>0</v>
      </c>
      <c r="O26" s="109" t="n">
        <v>1</v>
      </c>
    </row>
    <row r="27" customFormat="false" ht="12.75" hidden="false" customHeight="false" outlineLevel="0" collapsed="false">
      <c r="K27" s="50" t="n">
        <f aca="false">SUM(K16:K26)</f>
        <v>15</v>
      </c>
      <c r="L27" s="50" t="n">
        <f aca="false">SUM(L16:L26)</f>
        <v>1760400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58</v>
      </c>
      <c r="G28" s="109" t="n">
        <f aca="false">SUM(G24:G27)</f>
        <v>15</v>
      </c>
      <c r="O28" s="109" t="n">
        <f aca="false">SUM(O24:O27)</f>
        <v>2</v>
      </c>
    </row>
    <row r="29" customFormat="false" ht="12.75" hidden="false" customHeight="false" outlineLevel="0" collapsed="false">
      <c r="B29" s="73"/>
      <c r="I29" s="0" t="s">
        <v>249</v>
      </c>
      <c r="K29" s="78"/>
      <c r="L29" s="78" t="n">
        <v>0.2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  <c r="L31" s="50" t="n">
        <f aca="false">L27*1.2</f>
        <v>2112480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  <c r="H35" s="17" t="s">
        <v>164</v>
      </c>
      <c r="I35" s="50"/>
      <c r="L35" s="0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I36" s="50"/>
      <c r="L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  <c r="H37" s="79" t="s">
        <v>165</v>
      </c>
      <c r="I37" s="80" t="s">
        <v>166</v>
      </c>
      <c r="J37" s="80" t="s">
        <v>167</v>
      </c>
      <c r="K37" s="80" t="s">
        <v>110</v>
      </c>
      <c r="L37" s="80" t="s">
        <v>168</v>
      </c>
    </row>
    <row r="38" customFormat="false" ht="12.75" hidden="true" customHeight="false" outlineLevel="0" collapsed="false">
      <c r="A38" s="63"/>
      <c r="B38" s="64"/>
      <c r="C38" s="65"/>
      <c r="E38" s="65"/>
      <c r="H38" s="81" t="n">
        <f aca="false">SUM(E11:E20)</f>
        <v>536772.496</v>
      </c>
      <c r="I38" s="111" t="n">
        <f aca="false">+E28</f>
        <v>58</v>
      </c>
      <c r="J38" s="80" t="n">
        <f aca="false">+H38/I38</f>
        <v>9254.69820689655</v>
      </c>
      <c r="K38" s="80" t="n">
        <f aca="false">+K11</f>
        <v>15</v>
      </c>
      <c r="L38" s="80" t="n">
        <f aca="false">+J38*K38</f>
        <v>138820.473103448</v>
      </c>
      <c r="M38" s="50"/>
    </row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3" customFormat="false" ht="12.75" hidden="false" customHeight="false" outlineLevel="0" collapsed="false">
      <c r="C43" s="103" t="n">
        <f aca="false">C22+C30+C31+C32+C33+C34+C35+C36+C37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8" min="13" style="0" width="9.14"/>
  </cols>
  <sheetData>
    <row r="1" customFormat="false" ht="18" hidden="false" customHeight="false" outlineLevel="0" collapsed="false">
      <c r="B1" s="51" t="str">
        <f aca="false">'[22]Team Report'!B1</f>
        <v>Enron North America</v>
      </c>
      <c r="C1" s="51"/>
      <c r="D1" s="51"/>
      <c r="E1" s="51"/>
      <c r="F1" s="51"/>
      <c r="G1" s="53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8" hidden="false" customHeight="false" outlineLevel="0" collapsed="false">
      <c r="B2" s="51" t="s">
        <v>71</v>
      </c>
      <c r="C2" s="51"/>
      <c r="D2" s="51"/>
      <c r="E2" s="51"/>
      <c r="F2" s="51"/>
      <c r="G2" s="53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I6" s="88"/>
      <c r="J6" s="80" t="s">
        <v>109</v>
      </c>
      <c r="K6" s="80" t="s">
        <v>110</v>
      </c>
      <c r="L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G7" s="17"/>
      <c r="I7" s="88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'[22]Team Report'!BA25</f>
        <v>3640949.9</v>
      </c>
      <c r="E8" s="65" t="n">
        <f aca="false">((C8/9)*12)*1.2</f>
        <v>5825519.84</v>
      </c>
      <c r="F8" s="65" t="n">
        <f aca="false">((L28+(433200/11*8))*1.2)*0.917</f>
        <v>1705459.94181818</v>
      </c>
      <c r="I8" s="88"/>
      <c r="L8" s="60"/>
      <c r="O8" s="65" t="n">
        <f aca="false">+F8/$F$28*$O$28</f>
        <v>213182.492727273</v>
      </c>
    </row>
    <row r="9" customFormat="false" ht="12.75" hidden="false" customHeight="false" outlineLevel="0" collapsed="false">
      <c r="B9" s="64" t="s">
        <v>192</v>
      </c>
      <c r="C9" s="65" t="n">
        <v>0</v>
      </c>
      <c r="E9" s="65" t="n">
        <f aca="false">(C9/9)*12</f>
        <v>0</v>
      </c>
      <c r="F9" s="65" t="n">
        <f aca="false">(((D9/9)*12)*1.2)*0.917</f>
        <v>0</v>
      </c>
      <c r="I9" s="88"/>
      <c r="L9" s="60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'[22]Team Report'!BA26</f>
        <v>762369.14</v>
      </c>
      <c r="E10" s="65" t="n">
        <f aca="false">((C10/9)*12)*1.2</f>
        <v>1219790.624</v>
      </c>
      <c r="F10" s="65" t="n">
        <f aca="false">((L32-L28+(86640/11*8))*1.2)*0.917</f>
        <v>341091.988363636</v>
      </c>
      <c r="I10" s="88"/>
      <c r="L10" s="60"/>
      <c r="O10" s="65" t="n">
        <f aca="false">+F10/$F$28*$O$28</f>
        <v>42636.4985454545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'[22]Team Report'!BA27</f>
        <v>173944.73</v>
      </c>
      <c r="E11" s="67" t="n">
        <f aca="false">((C11/9)*12)*1.2</f>
        <v>278311.568</v>
      </c>
      <c r="F11" s="65" t="n">
        <f aca="false">(((E11/$E$28)*$F$28)*1.2)*0.917</f>
        <v>50000.6611309714</v>
      </c>
      <c r="I11" s="88" t="s">
        <v>83</v>
      </c>
      <c r="J11" s="50" t="n">
        <f aca="false">(E11+E12+E13+E14+E15+E16+E17+E18+E19+E20+E21)/E28</f>
        <v>33269.8053877551</v>
      </c>
      <c r="K11" s="50" t="n">
        <f aca="false">K28</f>
        <v>8</v>
      </c>
      <c r="L11" s="60" t="n">
        <f aca="false">J11*K11</f>
        <v>266158.443102041</v>
      </c>
      <c r="O11" s="65" t="n">
        <f aca="false">+F11/$F$28*$O$28</f>
        <v>6250.08264137143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'[22]Team Report'!BA28</f>
        <v>293972.73</v>
      </c>
      <c r="E12" s="67" t="n">
        <f aca="false">((C12/9)*12)*1.2</f>
        <v>470356.368</v>
      </c>
      <c r="F12" s="65" t="n">
        <f aca="false">(((E12/$E$28)*$F$28)*1.2)*0.917</f>
        <v>84502.8811995429</v>
      </c>
      <c r="I12" s="88"/>
      <c r="L12" s="60"/>
      <c r="O12" s="65" t="n">
        <f aca="false">+F12/$F$28*$O$28</f>
        <v>10562.8601499429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f aca="false">'[22]Team Report'!BA32</f>
        <v>67481.55</v>
      </c>
      <c r="E13" s="67" t="n">
        <f aca="false">((C13/9)*12)*1.2</f>
        <v>107970.48</v>
      </c>
      <c r="F13" s="65" t="n">
        <f aca="false">(((E13/$E$28)*$F$28)*1.2)*0.917</f>
        <v>19397.6679497143</v>
      </c>
      <c r="I13" s="93" t="s">
        <v>129</v>
      </c>
      <c r="J13" s="69"/>
      <c r="K13" s="69"/>
      <c r="L13" s="70" t="n">
        <f aca="false">SUM(L9:L11)</f>
        <v>266158.443102041</v>
      </c>
      <c r="N13" s="0" t="n">
        <v>1699109</v>
      </c>
      <c r="O13" s="65" t="n">
        <f aca="false">+F13/$F$28*$O$28</f>
        <v>2424.70849371429</v>
      </c>
      <c r="P13" s="71"/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'[22]Team Report'!BA33</f>
        <v>48511.92</v>
      </c>
      <c r="E14" s="67" t="n">
        <f aca="false">((C14/9)*12)*1.2</f>
        <v>77619.072</v>
      </c>
      <c r="F14" s="65" t="n">
        <f aca="false">(((E14/$E$28)*$F$28)*1.2)*0.917</f>
        <v>13944.8207067429</v>
      </c>
      <c r="I14" s="27"/>
      <c r="O14" s="65" t="n">
        <f aca="false">+F14/$F$28*$O$28</f>
        <v>1743.10258834286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'[22]Team Report'!BA34</f>
        <v>0</v>
      </c>
      <c r="E15" s="67" t="n">
        <f aca="false">(C15/9)*12</f>
        <v>0</v>
      </c>
      <c r="F15" s="65" t="n">
        <f aca="false">(((E15/$E$28)*$F$28)*1.2)*0.917</f>
        <v>0</v>
      </c>
      <c r="I15" s="27"/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'[22]Team Report'!BA35</f>
        <v>2500</v>
      </c>
      <c r="E16" s="67" t="n">
        <f aca="false">((C16/9)*12)*1.2</f>
        <v>4000</v>
      </c>
      <c r="F16" s="65" t="n">
        <f aca="false">(((E16/$E$28)*$F$28)*1.2)*0.917</f>
        <v>718.628571428571</v>
      </c>
      <c r="I16" s="27" t="s">
        <v>193</v>
      </c>
      <c r="J16" s="50" t="n">
        <f aca="false">30000*1.2</f>
        <v>36000</v>
      </c>
      <c r="K16" s="50" t="n">
        <f aca="false">H16*J16</f>
        <v>0</v>
      </c>
      <c r="L16" s="50" t="n">
        <f aca="false">J16*K16</f>
        <v>0</v>
      </c>
      <c r="O16" s="65" t="n">
        <f aca="false">+F16/$F$28*$O$28</f>
        <v>89.8285714285714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'[22]Team Report'!BA36</f>
        <v>0</v>
      </c>
      <c r="E17" s="67" t="n">
        <f aca="false">(C17/9)*12</f>
        <v>0</v>
      </c>
      <c r="F17" s="65" t="n">
        <f aca="false">(((E17/$E$28)*$F$28)*1.2)*0.917</f>
        <v>0</v>
      </c>
      <c r="I17" s="0" t="s">
        <v>255</v>
      </c>
      <c r="J17" s="50" t="n">
        <v>48000</v>
      </c>
      <c r="K17" s="50" t="n">
        <v>1</v>
      </c>
      <c r="L17" s="50" t="n">
        <f aca="false">J17*K17</f>
        <v>48000</v>
      </c>
      <c r="O17" s="65" t="n">
        <f aca="false">+F17/$F$28*$O$28</f>
        <v>0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'[22]Team Report'!BA37</f>
        <v>129576.92</v>
      </c>
      <c r="E18" s="67" t="n">
        <f aca="false">((C18/9)*12)*1.2</f>
        <v>207323.072</v>
      </c>
      <c r="F18" s="65" t="n">
        <f aca="false">(((E18/$E$28)*$F$28+(60000/11*8))*1.2)*0.917</f>
        <v>85264.5253093403</v>
      </c>
      <c r="I18" s="0" t="s">
        <v>142</v>
      </c>
      <c r="J18" s="50" t="n">
        <v>49200</v>
      </c>
      <c r="K18" s="50" t="n">
        <v>0</v>
      </c>
      <c r="L18" s="50" t="n">
        <f aca="false">J18*K18</f>
        <v>0</v>
      </c>
      <c r="O18" s="65" t="n">
        <f aca="false">+F18/$F$28*$O$28</f>
        <v>10658.0656636675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'[22]Team Report'!BA38</f>
        <v>10.03</v>
      </c>
      <c r="E19" s="67" t="n">
        <f aca="false">((C19/9)*12)*1.2</f>
        <v>16.048</v>
      </c>
      <c r="F19" s="65" t="n">
        <f aca="false">(((E19/$E$28)*$F$28)*1.2)*0.917</f>
        <v>2.88313782857143</v>
      </c>
      <c r="I19" s="0" t="s">
        <v>256</v>
      </c>
      <c r="J19" s="50" t="n">
        <v>57600</v>
      </c>
      <c r="K19" s="50" t="n">
        <v>0</v>
      </c>
      <c r="L19" s="50" t="n">
        <f aca="false">J19*K19</f>
        <v>0</v>
      </c>
      <c r="O19" s="65" t="n">
        <f aca="false">+F19/$F$28*$O$28</f>
        <v>0.360392228571429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'[22]Team Report'!BA42</f>
        <v>302115.48</v>
      </c>
      <c r="E20" s="67" t="n">
        <f aca="false">((C20/9)*12)*1.2</f>
        <v>483384.768</v>
      </c>
      <c r="F20" s="65" t="n">
        <f aca="false">(((E20/$E$28)*$F$28)*1.2)*0.917</f>
        <v>86843.5263195429</v>
      </c>
      <c r="I20" s="0" t="s">
        <v>154</v>
      </c>
      <c r="J20" s="50" t="n">
        <v>72000</v>
      </c>
      <c r="K20" s="50" t="n">
        <v>0</v>
      </c>
      <c r="L20" s="50" t="n">
        <f aca="false">J20*K20</f>
        <v>0</v>
      </c>
      <c r="O20" s="65" t="n">
        <f aca="false">+F20/$F$28*$O$28</f>
        <v>10855.4407899429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'[22]Team Report'!BA44</f>
        <v>774.43</v>
      </c>
      <c r="E21" s="67" t="n">
        <f aca="false">((C21/9)*12)*1.2</f>
        <v>1239.088</v>
      </c>
      <c r="F21" s="65" t="n">
        <f aca="false">(((E21/$E$28)*$F$28)*1.2)*0.917</f>
        <v>222.611009828571</v>
      </c>
      <c r="I21" s="0" t="s">
        <v>145</v>
      </c>
      <c r="J21" s="50" t="n">
        <v>62400</v>
      </c>
      <c r="K21" s="50" t="n">
        <v>0</v>
      </c>
      <c r="L21" s="50" t="n">
        <f aca="false">J21*K21</f>
        <v>0</v>
      </c>
      <c r="O21" s="65" t="n">
        <f aca="false">+F21/$F$28*$O$28</f>
        <v>27.8263762285714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5422206.83</v>
      </c>
      <c r="E22" s="74" t="n">
        <f aca="false">SUM(E8:E21)</f>
        <v>8675530.928</v>
      </c>
      <c r="F22" s="74" t="n">
        <f aca="false">SUM(F8:F21)</f>
        <v>2387450.13551676</v>
      </c>
      <c r="I22" s="0" t="s">
        <v>297</v>
      </c>
      <c r="J22" s="50" t="n">
        <v>74400</v>
      </c>
      <c r="K22" s="50" t="n">
        <v>0</v>
      </c>
      <c r="L22" s="50" t="n">
        <f aca="false">J22*K22</f>
        <v>0</v>
      </c>
      <c r="O22" s="96" t="n">
        <f aca="false">SUM(O8:O21)</f>
        <v>298431.266939595</v>
      </c>
    </row>
    <row r="23" customFormat="false" ht="12.75" hidden="false" customHeight="false" outlineLevel="0" collapsed="false">
      <c r="I23" s="0" t="s">
        <v>258</v>
      </c>
      <c r="J23" s="50" t="n">
        <v>90000</v>
      </c>
      <c r="K23" s="50" t="n">
        <v>0</v>
      </c>
      <c r="L23" s="50" t="n">
        <f aca="false">J23*K23</f>
        <v>0</v>
      </c>
    </row>
    <row r="24" customFormat="false" ht="12.75" hidden="false" customHeight="false" outlineLevel="0" collapsed="false">
      <c r="B24" s="73" t="s">
        <v>7</v>
      </c>
      <c r="C24" s="65"/>
      <c r="E24" s="77" t="n">
        <v>44</v>
      </c>
      <c r="F24" s="77" t="n">
        <f aca="false">+K28</f>
        <v>8</v>
      </c>
      <c r="I24" s="0" t="s">
        <v>259</v>
      </c>
      <c r="J24" s="50" t="n">
        <v>120000</v>
      </c>
      <c r="K24" s="50" t="n">
        <v>4</v>
      </c>
      <c r="L24" s="50" t="n">
        <f aca="false">J24*K24</f>
        <v>480000</v>
      </c>
      <c r="O24" s="77" t="n">
        <f aca="false">SUM(U15:U19,U22:U26)</f>
        <v>0</v>
      </c>
    </row>
    <row r="25" customFormat="false" ht="12.75" hidden="false" customHeight="false" outlineLevel="0" collapsed="false">
      <c r="C25" s="65"/>
      <c r="E25" s="65"/>
      <c r="F25" s="65"/>
      <c r="I25" s="0" t="s">
        <v>260</v>
      </c>
      <c r="J25" s="50" t="n">
        <v>178800</v>
      </c>
      <c r="K25" s="50" t="n">
        <v>1</v>
      </c>
      <c r="L25" s="50" t="n">
        <f aca="false">J25*K25</f>
        <v>178800</v>
      </c>
      <c r="O25" s="65"/>
    </row>
    <row r="26" customFormat="false" ht="12.75" hidden="false" customHeight="false" outlineLevel="0" collapsed="false">
      <c r="B26" s="73" t="s">
        <v>289</v>
      </c>
      <c r="C26" s="65"/>
      <c r="E26" s="77" t="n">
        <v>5</v>
      </c>
      <c r="F26" s="77" t="n">
        <v>0</v>
      </c>
      <c r="I26" s="0" t="s">
        <v>261</v>
      </c>
      <c r="J26" s="50" t="n">
        <v>216000</v>
      </c>
      <c r="K26" s="50" t="n">
        <v>1</v>
      </c>
      <c r="L26" s="50" t="n">
        <f aca="false">J26*K26</f>
        <v>216000</v>
      </c>
      <c r="O26" s="77" t="n">
        <f aca="false">SUM(U20:U21)</f>
        <v>0</v>
      </c>
    </row>
    <row r="27" customFormat="false" ht="12.75" hidden="false" customHeight="false" outlineLevel="0" collapsed="false">
      <c r="I27" s="0" t="s">
        <v>262</v>
      </c>
      <c r="J27" s="50" t="n">
        <v>312000</v>
      </c>
      <c r="K27" s="50" t="n">
        <v>1</v>
      </c>
      <c r="L27" s="50" t="n">
        <f aca="false">J27*K27</f>
        <v>312000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49</v>
      </c>
      <c r="F28" s="77" t="n">
        <f aca="false">+F26+F24</f>
        <v>8</v>
      </c>
      <c r="G28" s="50"/>
      <c r="K28" s="50" t="n">
        <f aca="false">SUM(K16:K27)</f>
        <v>8</v>
      </c>
      <c r="L28" s="50" t="n">
        <f aca="false">SUM(L16:L27)</f>
        <v>1234800</v>
      </c>
      <c r="O28" s="77" t="n">
        <v>1</v>
      </c>
    </row>
    <row r="29" customFormat="false" ht="12.75" hidden="true" customHeight="false" outlineLevel="0" collapsed="false"/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'[22]Team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'[22]Team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'[22]Team Report'!BA31</f>
        <v>0</v>
      </c>
      <c r="E32" s="65" t="n">
        <f aca="false">(C32/9)*12</f>
        <v>0</v>
      </c>
      <c r="L32" s="50" t="n">
        <f aca="false">L28*1.2</f>
        <v>1481760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'[22]Team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'[22]Team Report'!BA40</f>
        <v>147341.9</v>
      </c>
      <c r="E34" s="65" t="n">
        <f aca="false">(C34/9)*12</f>
        <v>196455.866666667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'[22]Team Report'!BA41</f>
        <v>285701.8</v>
      </c>
      <c r="E35" s="65" t="n">
        <f aca="false">(C35/9)*12</f>
        <v>380935.733333333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'[22]Team Report'!BA43</f>
        <v>-4445984</v>
      </c>
      <c r="E36" s="65" t="n">
        <f aca="false">(C36/9)*12</f>
        <v>-5927978.66666667</v>
      </c>
      <c r="G36" s="17" t="s">
        <v>164</v>
      </c>
      <c r="I36" s="50"/>
      <c r="L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'[22]Team Report'!BA45</f>
        <v>1176.06</v>
      </c>
      <c r="E37" s="65" t="n">
        <f aca="false">(C37/9)*12</f>
        <v>1568.08</v>
      </c>
      <c r="I37" s="50"/>
      <c r="L37" s="0"/>
    </row>
    <row r="38" customFormat="false" ht="12.75" hidden="true" customHeight="false" outlineLevel="0" collapsed="false">
      <c r="G38" s="79" t="s">
        <v>165</v>
      </c>
      <c r="I38" s="80" t="s">
        <v>166</v>
      </c>
      <c r="J38" s="80" t="s">
        <v>167</v>
      </c>
      <c r="K38" s="80" t="s">
        <v>110</v>
      </c>
      <c r="L38" s="80" t="s">
        <v>168</v>
      </c>
    </row>
    <row r="39" customFormat="false" ht="12.75" hidden="true" customHeight="false" outlineLevel="0" collapsed="false">
      <c r="C39" s="103" t="n">
        <f aca="false">C22+C30+C31+C32+C33+C34+C35+C36+C37</f>
        <v>1410442.59</v>
      </c>
      <c r="G39" s="81" t="n">
        <f aca="false">SUM(E11:E21)</f>
        <v>1630220.464</v>
      </c>
      <c r="I39" s="111" t="n">
        <f aca="false">+E28</f>
        <v>49</v>
      </c>
      <c r="J39" s="80" t="n">
        <f aca="false">+G39/I39</f>
        <v>33269.8053877551</v>
      </c>
      <c r="K39" s="111" t="n">
        <f aca="false">+K11</f>
        <v>8</v>
      </c>
      <c r="L39" s="80" t="n">
        <f aca="false">+J39*K39</f>
        <v>266158.443102041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6" min="13" style="0" width="9.14"/>
  </cols>
  <sheetData>
    <row r="1" customFormat="false" ht="18" hidden="false" customHeight="false" outlineLevel="0" collapsed="false">
      <c r="B1" s="51" t="str">
        <f aca="false">'[22]Team Report'!B1</f>
        <v>Enron North America</v>
      </c>
      <c r="C1" s="51"/>
      <c r="D1" s="51"/>
      <c r="E1" s="51"/>
      <c r="F1" s="51"/>
      <c r="G1" s="53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8" hidden="false" customHeight="false" outlineLevel="0" collapsed="false">
      <c r="B2" s="51" t="s">
        <v>72</v>
      </c>
      <c r="C2" s="51"/>
      <c r="D2" s="51"/>
      <c r="E2" s="51"/>
      <c r="F2" s="51"/>
      <c r="G2" s="53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I6" s="88"/>
      <c r="J6" s="80" t="s">
        <v>109</v>
      </c>
      <c r="K6" s="80" t="s">
        <v>110</v>
      </c>
      <c r="L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G7" s="17"/>
      <c r="I7" s="88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'[22]Team Report'!BA25</f>
        <v>3640949.9</v>
      </c>
      <c r="E8" s="65" t="n">
        <f aca="false">((C8/9)*12)*1.2</f>
        <v>5825519.84</v>
      </c>
      <c r="F8" s="65" t="n">
        <f aca="false">((L28+(433200/11*3))*1.2)*0.917</f>
        <v>442961.018181818</v>
      </c>
      <c r="I8" s="88"/>
      <c r="L8" s="60"/>
      <c r="O8" s="65" t="n">
        <f aca="false">+F8/$F$28*$O$28</f>
        <v>147653.672727273</v>
      </c>
    </row>
    <row r="9" customFormat="false" ht="12.75" hidden="false" customHeight="false" outlineLevel="0" collapsed="false">
      <c r="B9" s="64" t="s">
        <v>192</v>
      </c>
      <c r="C9" s="65" t="n">
        <v>0</v>
      </c>
      <c r="E9" s="65" t="n">
        <f aca="false">(C9/9)*12</f>
        <v>0</v>
      </c>
      <c r="F9" s="65" t="n">
        <f aca="false">(((D9/9)*12)*1.2)*0.917</f>
        <v>0</v>
      </c>
      <c r="I9" s="88"/>
      <c r="L9" s="60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'[22]Team Report'!BA26</f>
        <v>762369.14</v>
      </c>
      <c r="E10" s="65" t="n">
        <f aca="false">((C10/9)*12)*1.2</f>
        <v>1219790.624</v>
      </c>
      <c r="F10" s="65" t="n">
        <f aca="false">((L32-L28+(86640/11*3))*1.2)*0.917</f>
        <v>88592.2036363636</v>
      </c>
      <c r="I10" s="88"/>
      <c r="L10" s="60"/>
      <c r="O10" s="65" t="n">
        <f aca="false">+F10/$F$28*$O$28</f>
        <v>29530.7345454545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'[22]Team Report'!BA27</f>
        <v>173944.73</v>
      </c>
      <c r="E11" s="67" t="n">
        <f aca="false">((C11/9)*12)*1.2</f>
        <v>278311.568</v>
      </c>
      <c r="F11" s="65" t="n">
        <f aca="false">(((E11/$E$28)*$F$28)*1.2)*0.917</f>
        <v>18750.2479241143</v>
      </c>
      <c r="I11" s="88" t="s">
        <v>83</v>
      </c>
      <c r="J11" s="50" t="n">
        <f aca="false">(E11+E12+E13+E14+E15+E16+E17+E18+E19+E20+E21)/E28</f>
        <v>33269.8053877551</v>
      </c>
      <c r="K11" s="50" t="n">
        <f aca="false">K28</f>
        <v>3</v>
      </c>
      <c r="L11" s="60" t="n">
        <f aca="false">J11*K11</f>
        <v>99809.4161632653</v>
      </c>
      <c r="O11" s="65" t="n">
        <f aca="false">+F11/$F$28*$O$28</f>
        <v>6250.08264137143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'[22]Team Report'!BA28</f>
        <v>293972.73</v>
      </c>
      <c r="E12" s="67" t="n">
        <f aca="false">((C12/9)*12)*1.2</f>
        <v>470356.368</v>
      </c>
      <c r="F12" s="65" t="n">
        <f aca="false">(((E12/$E$28)*$F$28)*1.2)*0.917</f>
        <v>31688.5804498286</v>
      </c>
      <c r="I12" s="88"/>
      <c r="L12" s="60"/>
      <c r="O12" s="65" t="n">
        <f aca="false">+F12/$F$28*$O$28</f>
        <v>10562.8601499429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f aca="false">'[22]Team Report'!BA32</f>
        <v>67481.55</v>
      </c>
      <c r="E13" s="67" t="n">
        <f aca="false">((C13/9)*12)*1.2</f>
        <v>107970.48</v>
      </c>
      <c r="F13" s="65" t="n">
        <f aca="false">(((E13/$E$28)*$F$28)*1.2)*0.917</f>
        <v>7274.12548114286</v>
      </c>
      <c r="I13" s="93" t="s">
        <v>129</v>
      </c>
      <c r="J13" s="69"/>
      <c r="K13" s="69"/>
      <c r="L13" s="70" t="n">
        <f aca="false">SUM(L9:L11)</f>
        <v>99809.4161632653</v>
      </c>
      <c r="N13" s="0" t="n">
        <v>1699109</v>
      </c>
      <c r="O13" s="65" t="n">
        <f aca="false">+F13/$F$28*$O$28</f>
        <v>2424.70849371429</v>
      </c>
      <c r="P13" s="71"/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'[22]Team Report'!BA33</f>
        <v>48511.92</v>
      </c>
      <c r="E14" s="67" t="n">
        <f aca="false">((C14/9)*12)*1.2</f>
        <v>77619.072</v>
      </c>
      <c r="F14" s="65" t="n">
        <f aca="false">(((E14/$E$28)*$F$28)*1.2)*0.917</f>
        <v>5229.30776502857</v>
      </c>
      <c r="I14" s="27"/>
      <c r="O14" s="65" t="n">
        <f aca="false">+F14/$F$28*$O$28</f>
        <v>1743.10258834286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'[22]Team Report'!BA34</f>
        <v>0</v>
      </c>
      <c r="E15" s="67" t="n">
        <f aca="false">(C15/9)*12</f>
        <v>0</v>
      </c>
      <c r="F15" s="65" t="n">
        <f aca="false">(((E15/$E$28)*$F$28)*1.2)*0.917</f>
        <v>0</v>
      </c>
      <c r="I15" s="27"/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'[22]Team Report'!BA35</f>
        <v>2500</v>
      </c>
      <c r="E16" s="67" t="n">
        <f aca="false">((C16/9)*12)*1.2</f>
        <v>4000</v>
      </c>
      <c r="F16" s="65" t="n">
        <f aca="false">(((E16/$E$28)*$F$28)*1.2)*0.917</f>
        <v>269.485714285714</v>
      </c>
      <c r="I16" s="27" t="s">
        <v>193</v>
      </c>
      <c r="J16" s="50" t="n">
        <f aca="false">30000*1.2</f>
        <v>36000</v>
      </c>
      <c r="K16" s="50" t="n">
        <f aca="false">H16*J16</f>
        <v>0</v>
      </c>
      <c r="L16" s="50" t="n">
        <f aca="false">J16*K16</f>
        <v>0</v>
      </c>
      <c r="O16" s="65" t="n">
        <f aca="false">+F16/$F$28*$O$28</f>
        <v>89.8285714285714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'[22]Team Report'!BA36</f>
        <v>0</v>
      </c>
      <c r="E17" s="67" t="n">
        <f aca="false">(C17/9)*12</f>
        <v>0</v>
      </c>
      <c r="F17" s="65" t="n">
        <f aca="false">(((E17/$E$28)*$F$28)*1.2)*0.917</f>
        <v>0</v>
      </c>
      <c r="I17" s="0" t="s">
        <v>255</v>
      </c>
      <c r="J17" s="50" t="n">
        <v>48000</v>
      </c>
      <c r="K17" s="50" t="n">
        <v>0</v>
      </c>
      <c r="L17" s="50" t="n">
        <f aca="false">J17*K17</f>
        <v>0</v>
      </c>
      <c r="O17" s="65" t="n">
        <f aca="false">+F17/$F$28*$O$28</f>
        <v>0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'[22]Team Report'!BA37</f>
        <v>129576.92</v>
      </c>
      <c r="E18" s="67" t="n">
        <f aca="false">((C18/9)*12)*1.2</f>
        <v>207323.072</v>
      </c>
      <c r="F18" s="65" t="n">
        <f aca="false">(((E18/$E$28)*$F$28+(60000/11*3))*1.2)*0.917</f>
        <v>31974.1969910026</v>
      </c>
      <c r="I18" s="0" t="s">
        <v>142</v>
      </c>
      <c r="J18" s="50" t="n">
        <v>49200</v>
      </c>
      <c r="K18" s="50" t="n">
        <v>0</v>
      </c>
      <c r="L18" s="50" t="n">
        <f aca="false">J18*K18</f>
        <v>0</v>
      </c>
      <c r="O18" s="65" t="n">
        <f aca="false">+F18/$F$28*$O$28</f>
        <v>10658.0656636675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'[22]Team Report'!BA38</f>
        <v>10.03</v>
      </c>
      <c r="E19" s="67" t="n">
        <f aca="false">((C19/9)*12)*1.2</f>
        <v>16.048</v>
      </c>
      <c r="F19" s="65" t="n">
        <f aca="false">(((E19/$E$28)*$F$28)*1.2)*0.917</f>
        <v>1.08117668571429</v>
      </c>
      <c r="I19" s="0" t="s">
        <v>256</v>
      </c>
      <c r="J19" s="50" t="n">
        <v>57600</v>
      </c>
      <c r="K19" s="50" t="n">
        <v>0</v>
      </c>
      <c r="L19" s="50" t="n">
        <f aca="false">J19*K19</f>
        <v>0</v>
      </c>
      <c r="O19" s="65" t="n">
        <f aca="false">+F19/$F$28*$O$28</f>
        <v>0.360392228571429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'[22]Team Report'!BA42</f>
        <v>302115.48</v>
      </c>
      <c r="E20" s="67" t="n">
        <f aca="false">((C20/9)*12)*1.2</f>
        <v>483384.768</v>
      </c>
      <c r="F20" s="65" t="n">
        <f aca="false">(((E20/$E$28)*$F$28)*1.2)*0.917</f>
        <v>32566.3223698286</v>
      </c>
      <c r="I20" s="0" t="s">
        <v>154</v>
      </c>
      <c r="J20" s="50" t="n">
        <v>72000</v>
      </c>
      <c r="K20" s="50" t="n">
        <v>0</v>
      </c>
      <c r="L20" s="50" t="n">
        <f aca="false">J20*K20</f>
        <v>0</v>
      </c>
      <c r="O20" s="65" t="n">
        <f aca="false">+F20/$F$28*$O$28</f>
        <v>10855.4407899429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'[22]Team Report'!BA44</f>
        <v>774.43</v>
      </c>
      <c r="E21" s="67" t="n">
        <f aca="false">((C21/9)*12)*1.2</f>
        <v>1239.088</v>
      </c>
      <c r="F21" s="65" t="n">
        <f aca="false">(((E21/$E$28)*$F$28)*1.2)*0.917</f>
        <v>83.4791286857143</v>
      </c>
      <c r="I21" s="0" t="s">
        <v>145</v>
      </c>
      <c r="J21" s="50" t="n">
        <v>62400</v>
      </c>
      <c r="K21" s="50" t="n">
        <v>0</v>
      </c>
      <c r="L21" s="50" t="n">
        <f aca="false">J21*K21</f>
        <v>0</v>
      </c>
      <c r="O21" s="65" t="n">
        <f aca="false">+F21/$F$28*$O$28</f>
        <v>27.8263762285714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5422206.83</v>
      </c>
      <c r="E22" s="74" t="n">
        <f aca="false">SUM(E8:E21)</f>
        <v>8675530.928</v>
      </c>
      <c r="F22" s="74" t="n">
        <f aca="false">SUM(F8:F21)</f>
        <v>659390.048818784</v>
      </c>
      <c r="I22" s="0" t="s">
        <v>297</v>
      </c>
      <c r="J22" s="50" t="n">
        <v>74400</v>
      </c>
      <c r="K22" s="50" t="n">
        <v>1</v>
      </c>
      <c r="L22" s="50" t="n">
        <f aca="false">J22*K22</f>
        <v>74400</v>
      </c>
      <c r="O22" s="96" t="n">
        <f aca="false">SUM(O8:O21)</f>
        <v>219796.682939595</v>
      </c>
    </row>
    <row r="23" customFormat="false" ht="12.75" hidden="false" customHeight="false" outlineLevel="0" collapsed="false">
      <c r="I23" s="0" t="s">
        <v>258</v>
      </c>
      <c r="J23" s="50" t="n">
        <v>90000</v>
      </c>
      <c r="K23" s="50" t="n">
        <v>1</v>
      </c>
      <c r="L23" s="50" t="n">
        <f aca="false">J23*K23</f>
        <v>90000</v>
      </c>
    </row>
    <row r="24" customFormat="false" ht="12.75" hidden="false" customHeight="false" outlineLevel="0" collapsed="false">
      <c r="B24" s="73" t="s">
        <v>7</v>
      </c>
      <c r="C24" s="65"/>
      <c r="E24" s="77" t="n">
        <v>44</v>
      </c>
      <c r="F24" s="77" t="n">
        <f aca="false">+K28</f>
        <v>3</v>
      </c>
      <c r="I24" s="0" t="s">
        <v>259</v>
      </c>
      <c r="J24" s="50" t="n">
        <v>120000</v>
      </c>
      <c r="K24" s="50" t="n">
        <v>1</v>
      </c>
      <c r="L24" s="50" t="n">
        <f aca="false">J24*K24</f>
        <v>120000</v>
      </c>
      <c r="O24" s="77" t="n">
        <f aca="false">SUM(U15:U19,U22:U26)</f>
        <v>0</v>
      </c>
    </row>
    <row r="25" customFormat="false" ht="12.75" hidden="false" customHeight="false" outlineLevel="0" collapsed="false">
      <c r="C25" s="65"/>
      <c r="E25" s="65"/>
      <c r="F25" s="65"/>
      <c r="I25" s="0" t="s">
        <v>260</v>
      </c>
      <c r="J25" s="50" t="n">
        <v>178800</v>
      </c>
      <c r="K25" s="50" t="n">
        <v>0</v>
      </c>
      <c r="L25" s="50" t="n">
        <f aca="false">J25*K25</f>
        <v>0</v>
      </c>
      <c r="O25" s="65"/>
    </row>
    <row r="26" customFormat="false" ht="12.75" hidden="false" customHeight="false" outlineLevel="0" collapsed="false">
      <c r="B26" s="73" t="s">
        <v>289</v>
      </c>
      <c r="C26" s="65"/>
      <c r="E26" s="77" t="n">
        <v>5</v>
      </c>
      <c r="F26" s="77" t="n">
        <v>0</v>
      </c>
      <c r="I26" s="0" t="s">
        <v>261</v>
      </c>
      <c r="J26" s="50" t="n">
        <v>216000</v>
      </c>
      <c r="K26" s="50" t="n">
        <v>0</v>
      </c>
      <c r="L26" s="50" t="n">
        <f aca="false">J26*K26</f>
        <v>0</v>
      </c>
      <c r="O26" s="77" t="n">
        <f aca="false">SUM(U20:U21)</f>
        <v>0</v>
      </c>
    </row>
    <row r="27" customFormat="false" ht="12.75" hidden="false" customHeight="false" outlineLevel="0" collapsed="false">
      <c r="I27" s="0" t="s">
        <v>262</v>
      </c>
      <c r="J27" s="50" t="n">
        <v>312000</v>
      </c>
      <c r="K27" s="50" t="n"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49</v>
      </c>
      <c r="F28" s="77" t="n">
        <f aca="false">+F26+F24</f>
        <v>3</v>
      </c>
      <c r="G28" s="50"/>
      <c r="K28" s="50" t="n">
        <f aca="false">SUM(K16:K27)</f>
        <v>3</v>
      </c>
      <c r="L28" s="50" t="n">
        <f aca="false">SUM(L16:L27)</f>
        <v>284400</v>
      </c>
      <c r="O28" s="77" t="n">
        <v>1</v>
      </c>
    </row>
    <row r="29" customFormat="false" ht="12.75" hidden="true" customHeight="false" outlineLevel="0" collapsed="false"/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'[22]Team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'[22]Team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'[22]Team Report'!BA31</f>
        <v>0</v>
      </c>
      <c r="E32" s="65" t="n">
        <f aca="false">(C32/9)*12</f>
        <v>0</v>
      </c>
      <c r="L32" s="50" t="n">
        <f aca="false">L28*1.2</f>
        <v>341280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'[22]Team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'[22]Team Report'!BA40</f>
        <v>147341.9</v>
      </c>
      <c r="E34" s="65" t="n">
        <f aca="false">(C34/9)*12</f>
        <v>196455.866666667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'[22]Team Report'!BA41</f>
        <v>285701.8</v>
      </c>
      <c r="E35" s="65" t="n">
        <f aca="false">(C35/9)*12</f>
        <v>380935.733333333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'[22]Team Report'!BA43</f>
        <v>-4445984</v>
      </c>
      <c r="E36" s="65" t="n">
        <f aca="false">(C36/9)*12</f>
        <v>-5927978.66666667</v>
      </c>
      <c r="G36" s="17" t="s">
        <v>164</v>
      </c>
      <c r="I36" s="50"/>
      <c r="L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'[22]Team Report'!BA45</f>
        <v>1176.06</v>
      </c>
      <c r="E37" s="65" t="n">
        <f aca="false">(C37/9)*12</f>
        <v>1568.08</v>
      </c>
      <c r="I37" s="50"/>
      <c r="L37" s="0"/>
    </row>
    <row r="38" customFormat="false" ht="12.75" hidden="true" customHeight="false" outlineLevel="0" collapsed="false">
      <c r="G38" s="79" t="s">
        <v>165</v>
      </c>
      <c r="I38" s="80" t="s">
        <v>166</v>
      </c>
      <c r="J38" s="80" t="s">
        <v>167</v>
      </c>
      <c r="K38" s="80" t="s">
        <v>110</v>
      </c>
      <c r="L38" s="80" t="s">
        <v>168</v>
      </c>
    </row>
    <row r="39" customFormat="false" ht="12.75" hidden="true" customHeight="false" outlineLevel="0" collapsed="false">
      <c r="C39" s="103" t="n">
        <f aca="false">C22+C30+C31+C32+C33+C34+C35+C36+C37</f>
        <v>1410442.59</v>
      </c>
      <c r="G39" s="81" t="n">
        <f aca="false">SUM(E11:E21)</f>
        <v>1630220.464</v>
      </c>
      <c r="I39" s="111" t="n">
        <f aca="false">+E28</f>
        <v>49</v>
      </c>
      <c r="J39" s="80" t="n">
        <f aca="false">+G39/I39</f>
        <v>33269.8053877551</v>
      </c>
      <c r="K39" s="111" t="n">
        <f aca="false">+K11</f>
        <v>3</v>
      </c>
      <c r="L39" s="80" t="n">
        <f aca="false">+J39*K39</f>
        <v>99809.4161632653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298</v>
      </c>
      <c r="C2" s="51"/>
      <c r="D2" s="51"/>
      <c r="E2" s="51"/>
      <c r="F2" s="51"/>
      <c r="G2" s="51"/>
      <c r="H2" s="51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3.5" hidden="false" customHeight="false" outlineLevel="0" collapsed="false">
      <c r="J4" s="105" t="s">
        <v>299</v>
      </c>
      <c r="K4" s="105"/>
      <c r="L4" s="105"/>
      <c r="M4" s="105"/>
      <c r="O4" s="105" t="s">
        <v>74</v>
      </c>
      <c r="P4" s="105"/>
      <c r="Q4" s="105"/>
      <c r="R4" s="105"/>
    </row>
    <row r="5" customFormat="false" ht="12.75" hidden="false" customHeight="false" outlineLevel="0" collapsed="false">
      <c r="J5" s="85"/>
      <c r="K5" s="57"/>
      <c r="L5" s="57"/>
      <c r="M5" s="58"/>
      <c r="N5" s="27"/>
      <c r="O5" s="85"/>
      <c r="P5" s="57"/>
      <c r="Q5" s="57"/>
      <c r="R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61" t="s">
        <v>214</v>
      </c>
      <c r="J6" s="88"/>
      <c r="K6" s="80" t="s">
        <v>109</v>
      </c>
      <c r="L6" s="80" t="s">
        <v>110</v>
      </c>
      <c r="M6" s="106" t="s">
        <v>232</v>
      </c>
      <c r="N6" s="27"/>
      <c r="O6" s="88"/>
      <c r="P6" s="80" t="s">
        <v>109</v>
      </c>
      <c r="Q6" s="80" t="s">
        <v>110</v>
      </c>
      <c r="R6" s="106" t="s">
        <v>232</v>
      </c>
      <c r="V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62" t="s">
        <v>215</v>
      </c>
      <c r="J7" s="88"/>
      <c r="M7" s="60"/>
      <c r="N7" s="27"/>
      <c r="O7" s="88"/>
      <c r="P7" s="50"/>
      <c r="Q7" s="50"/>
      <c r="R7" s="60"/>
      <c r="V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M27</f>
        <v>4339200</v>
      </c>
      <c r="F8" s="65" t="n">
        <f aca="false">(+M16+M17+M18+M20+M21+M22+M23+M24+M25+M26)</f>
        <v>4224000</v>
      </c>
      <c r="J8" s="88"/>
      <c r="M8" s="60"/>
      <c r="N8" s="27"/>
      <c r="O8" s="88"/>
      <c r="P8" s="50"/>
      <c r="Q8" s="50"/>
      <c r="R8" s="60"/>
      <c r="V8" s="65" t="n">
        <f aca="false">+F8/$F$28*$V$28</f>
        <v>93866.6666666667</v>
      </c>
    </row>
    <row r="9" customFormat="false" ht="12.75" hidden="false" customHeight="false" outlineLevel="0" collapsed="false">
      <c r="A9" s="63"/>
      <c r="B9" s="64" t="s">
        <v>234</v>
      </c>
      <c r="C9" s="65" t="n">
        <v>0</v>
      </c>
      <c r="E9" s="65" t="n">
        <f aca="false">(C9/9)*12</f>
        <v>0</v>
      </c>
      <c r="F9" s="65" t="n">
        <f aca="false">(M19)</f>
        <v>115200</v>
      </c>
      <c r="J9" s="88"/>
      <c r="M9" s="60"/>
      <c r="N9" s="27"/>
      <c r="O9" s="88"/>
      <c r="P9" s="50"/>
      <c r="Q9" s="50"/>
      <c r="R9" s="60"/>
      <c r="V9" s="65" t="n">
        <f aca="false">+F9/$F$28*$V$28</f>
        <v>2560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M31</f>
        <v>5207040</v>
      </c>
      <c r="F10" s="65" t="n">
        <f aca="false">((F8+F9)*0.2)</f>
        <v>867840</v>
      </c>
      <c r="H10" s="0" t="n">
        <v>1.2</v>
      </c>
      <c r="J10" s="88"/>
      <c r="M10" s="60"/>
      <c r="N10" s="27"/>
      <c r="O10" s="88"/>
      <c r="P10" s="50"/>
      <c r="Q10" s="50"/>
      <c r="R10" s="60"/>
      <c r="V10" s="65" t="n">
        <f aca="false">+F10/$F$28*$V$28</f>
        <v>19285.3333333333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(C11/9)*12</f>
        <v>253373.293333333</v>
      </c>
      <c r="F11" s="65" t="n">
        <f aca="false">((E11/$E$28*46)+220000)</f>
        <v>333157.004789644</v>
      </c>
      <c r="J11" s="88" t="s">
        <v>83</v>
      </c>
      <c r="K11" s="50" t="n">
        <f aca="false">(E11+E12+E13+E14+E15+E16+E17+E18+E19+E20+22)/E28</f>
        <v>5823.46990291262</v>
      </c>
      <c r="L11" s="50" t="n">
        <f aca="false">L27</f>
        <v>45</v>
      </c>
      <c r="M11" s="60" t="n">
        <f aca="false">K11*L11+600000+704684</f>
        <v>1566740.14563107</v>
      </c>
      <c r="N11" s="27"/>
      <c r="O11" s="88" t="s">
        <v>83</v>
      </c>
      <c r="P11" s="50" t="n">
        <f aca="false">K11</f>
        <v>5823.46990291262</v>
      </c>
      <c r="Q11" s="50" t="n">
        <f aca="false">Q27</f>
        <v>7</v>
      </c>
      <c r="R11" s="60" t="n">
        <f aca="false">P11*Q11+360000-3367</f>
        <v>397397.289320388</v>
      </c>
      <c r="V11" s="65" t="n">
        <f aca="false">+F11/$F$28*$V$28</f>
        <v>7403.48899532542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(C12/9)*12</f>
        <v>104520.773333333</v>
      </c>
      <c r="F12" s="65" t="n">
        <f aca="false">((E12/$E$28*43))</f>
        <v>43634.8859546926</v>
      </c>
      <c r="J12" s="88"/>
      <c r="M12" s="60"/>
      <c r="N12" s="27"/>
      <c r="O12" s="88"/>
      <c r="P12" s="50"/>
      <c r="Q12" s="50"/>
      <c r="R12" s="60"/>
      <c r="V12" s="65" t="n">
        <f aca="false">+F12/$F$28*$V$28</f>
        <v>969.664132326501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(C13/9)*12</f>
        <v>0</v>
      </c>
      <c r="F13" s="65" t="n">
        <f aca="false">(700000+300000)</f>
        <v>1000000</v>
      </c>
      <c r="J13" s="93" t="s">
        <v>129</v>
      </c>
      <c r="K13" s="69"/>
      <c r="L13" s="69"/>
      <c r="M13" s="70" t="n">
        <f aca="false">SUM(M9:M11)</f>
        <v>1566740.14563107</v>
      </c>
      <c r="N13" s="27"/>
      <c r="O13" s="93" t="s">
        <v>129</v>
      </c>
      <c r="P13" s="69"/>
      <c r="Q13" s="69"/>
      <c r="R13" s="70" t="n">
        <f aca="false">SUM(R9:R11)</f>
        <v>397397.289320388</v>
      </c>
      <c r="V13" s="65" t="n">
        <f aca="false">+F13/$F$28*$V$28</f>
        <v>22222.2222222222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(C14/9)*12</f>
        <v>93228.84</v>
      </c>
      <c r="F14" s="65" t="n">
        <f aca="false">((E14/$E$28*46)+75000)</f>
        <v>116636.180970874</v>
      </c>
      <c r="J14" s="27"/>
      <c r="N14" s="27"/>
      <c r="V14" s="65" t="n">
        <f aca="false">+F14/$F$28*$V$28</f>
        <v>2591.91513268608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F15" s="65" t="n">
        <f aca="false">(E15/$E$28*46)*0.917</f>
        <v>0</v>
      </c>
      <c r="I15" s="71" t="n">
        <f aca="false">M13-F22</f>
        <v>-5512863.65411003</v>
      </c>
      <c r="J15" s="27"/>
      <c r="M15" s="50" t="n">
        <f aca="false">N15-F22</f>
        <v>-5115466.36478964</v>
      </c>
      <c r="N15" s="112" t="n">
        <f aca="false">M13+R13</f>
        <v>1964137.43495146</v>
      </c>
      <c r="V15" s="65" t="n">
        <f aca="false">+F15/$F$28*$V$28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F16" s="65" t="n">
        <f aca="false">(E16/$E$28*46)*0.917</f>
        <v>0</v>
      </c>
      <c r="J16" s="27" t="s">
        <v>193</v>
      </c>
      <c r="K16" s="50" t="n">
        <f aca="false">(30000*1.2)</f>
        <v>36000</v>
      </c>
      <c r="L16" s="0" t="n">
        <v>0</v>
      </c>
      <c r="M16" s="50" t="n">
        <f aca="false">K16*L16</f>
        <v>0</v>
      </c>
      <c r="O16" s="27" t="s">
        <v>193</v>
      </c>
      <c r="P16" s="50" t="n">
        <f aca="false">(30000*1.2)</f>
        <v>36000</v>
      </c>
      <c r="Q16" s="27" t="n">
        <v>1</v>
      </c>
      <c r="R16" s="71" t="n">
        <f aca="false">P16*Q16</f>
        <v>36000</v>
      </c>
      <c r="V16" s="65" t="n">
        <f aca="false">+F16/$F$28*$V$28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(C17/9)*12</f>
        <v>25386.2266666667</v>
      </c>
      <c r="F17" s="65" t="n">
        <f aca="false">((E17/$E$28*46)+50000)</f>
        <v>61337.5381229774</v>
      </c>
      <c r="J17" s="0" t="s">
        <v>255</v>
      </c>
      <c r="K17" s="50" t="n">
        <f aca="false">(40000*1.2)*1.2</f>
        <v>57600</v>
      </c>
      <c r="L17" s="0" t="n">
        <v>4</v>
      </c>
      <c r="M17" s="50" t="n">
        <f aca="false">K17*L17</f>
        <v>230400</v>
      </c>
      <c r="O17" s="0" t="s">
        <v>255</v>
      </c>
      <c r="P17" s="50" t="n">
        <f aca="false">(40000*1.2)*1.2</f>
        <v>57600</v>
      </c>
      <c r="Q17" s="0" t="n">
        <v>1</v>
      </c>
      <c r="R17" s="71" t="n">
        <f aca="false">P17*Q17</f>
        <v>57600</v>
      </c>
      <c r="V17" s="65" t="n">
        <f aca="false">+F17/$F$28*$V$28</f>
        <v>1363.05640273283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f aca="false">(C18/9)*12</f>
        <v>23229.36</v>
      </c>
      <c r="F18" s="65" t="n">
        <f aca="false">((E18/$E$28*46)+136897)</f>
        <v>147271.277281553</v>
      </c>
      <c r="J18" s="0" t="s">
        <v>142</v>
      </c>
      <c r="K18" s="50" t="n">
        <v>49200</v>
      </c>
      <c r="L18" s="0" t="n">
        <v>2</v>
      </c>
      <c r="M18" s="50" t="n">
        <f aca="false">K18*L18</f>
        <v>98400</v>
      </c>
      <c r="O18" s="0" t="s">
        <v>142</v>
      </c>
      <c r="P18" s="50" t="n">
        <v>49200</v>
      </c>
      <c r="Q18" s="0" t="n">
        <v>1</v>
      </c>
      <c r="R18" s="71" t="n">
        <f aca="false">P18*Q18</f>
        <v>49200</v>
      </c>
      <c r="V18" s="65" t="n">
        <f aca="false">+F18/$F$28*$V$28</f>
        <v>3272.69505070119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F19" s="65" t="n">
        <f aca="false">(E19/$E$28*46)</f>
        <v>0</v>
      </c>
      <c r="J19" s="0" t="s">
        <v>256</v>
      </c>
      <c r="K19" s="50" t="n">
        <v>57600</v>
      </c>
      <c r="L19" s="0" t="n">
        <v>2</v>
      </c>
      <c r="M19" s="50" t="n">
        <f aca="false">K19*L19</f>
        <v>115200</v>
      </c>
      <c r="O19" s="0" t="s">
        <v>256</v>
      </c>
      <c r="P19" s="50" t="n">
        <v>57600</v>
      </c>
      <c r="Q19" s="0" t="n">
        <v>0</v>
      </c>
      <c r="R19" s="71" t="n">
        <f aca="false">P19*Q19</f>
        <v>0</v>
      </c>
      <c r="V19" s="65" t="n">
        <f aca="false">+F19/$F$28*$V$28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(C20/9)*12</f>
        <v>100056.906666667</v>
      </c>
      <c r="F20" s="65" t="n">
        <f aca="false">((E20/$E$28*46)+125000)</f>
        <v>169685.608802589</v>
      </c>
      <c r="J20" s="0" t="s">
        <v>145</v>
      </c>
      <c r="K20" s="50" t="n">
        <v>62400</v>
      </c>
      <c r="L20" s="0" t="n">
        <v>7</v>
      </c>
      <c r="M20" s="50" t="n">
        <f aca="false">K20*L20</f>
        <v>436800</v>
      </c>
      <c r="O20" s="0" t="s">
        <v>145</v>
      </c>
      <c r="P20" s="50" t="n">
        <v>62400</v>
      </c>
      <c r="Q20" s="0" t="n">
        <v>0</v>
      </c>
      <c r="R20" s="71" t="n">
        <f aca="false">P20*Q20</f>
        <v>0</v>
      </c>
      <c r="V20" s="65" t="n">
        <f aca="false">+F20/$F$28*$V$28</f>
        <v>3770.7913067242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(C21/9)*12</f>
        <v>1634.98666666667</v>
      </c>
      <c r="F21" s="65" t="n">
        <f aca="false">(E21/$E$28*53)</f>
        <v>841.303818770227</v>
      </c>
      <c r="J21" s="0" t="s">
        <v>257</v>
      </c>
      <c r="K21" s="50" t="n">
        <v>74400</v>
      </c>
      <c r="L21" s="0" t="n">
        <v>11</v>
      </c>
      <c r="M21" s="50" t="n">
        <f aca="false">K21*L21</f>
        <v>818400</v>
      </c>
      <c r="O21" s="0" t="s">
        <v>257</v>
      </c>
      <c r="P21" s="50" t="n">
        <v>74400</v>
      </c>
      <c r="Q21" s="0" t="n">
        <v>0</v>
      </c>
      <c r="R21" s="71" t="n">
        <f aca="false">P21*Q21</f>
        <v>0</v>
      </c>
      <c r="V21" s="65" t="n">
        <f aca="false">+F21/$F$28*$V$28</f>
        <v>18.6956404171161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7" t="n">
        <f aca="false">SUM(E8:E21)</f>
        <v>10147670.3866667</v>
      </c>
      <c r="F22" s="77" t="n">
        <f aca="false">SUM(F8:F21)</f>
        <v>7079603.7997411</v>
      </c>
      <c r="J22" s="0" t="s">
        <v>258</v>
      </c>
      <c r="K22" s="50" t="n">
        <v>90000</v>
      </c>
      <c r="L22" s="0" t="n">
        <v>9</v>
      </c>
      <c r="M22" s="50" t="n">
        <f aca="false">K22*L22</f>
        <v>810000</v>
      </c>
      <c r="O22" s="0" t="s">
        <v>258</v>
      </c>
      <c r="P22" s="50" t="n">
        <v>90000</v>
      </c>
      <c r="Q22" s="0" t="n">
        <v>2</v>
      </c>
      <c r="R22" s="71" t="n">
        <f aca="false">P22*Q22</f>
        <v>180000</v>
      </c>
      <c r="V22" s="96" t="n">
        <f aca="false">SUM(V8:V21)</f>
        <v>157324.528883136</v>
      </c>
    </row>
    <row r="23" customFormat="false" ht="12.75" hidden="false" customHeight="false" outlineLevel="0" collapsed="false">
      <c r="J23" s="0" t="s">
        <v>259</v>
      </c>
      <c r="K23" s="50" t="n">
        <v>120000</v>
      </c>
      <c r="L23" s="0" t="n">
        <v>4</v>
      </c>
      <c r="M23" s="50" t="n">
        <f aca="false">K23*L23</f>
        <v>480000</v>
      </c>
      <c r="O23" s="0" t="s">
        <v>259</v>
      </c>
      <c r="P23" s="50" t="n">
        <v>120000</v>
      </c>
      <c r="Q23" s="0" t="n">
        <v>1</v>
      </c>
      <c r="R23" s="71" t="n">
        <f aca="false">P23*Q23</f>
        <v>120000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99</v>
      </c>
      <c r="F24" s="109" t="n">
        <f aca="false">SUM(L16:L18,L20:L26)</f>
        <v>43</v>
      </c>
      <c r="J24" s="0" t="s">
        <v>260</v>
      </c>
      <c r="K24" s="50" t="n">
        <v>174000</v>
      </c>
      <c r="L24" s="0" t="n">
        <v>1</v>
      </c>
      <c r="M24" s="50" t="n">
        <f aca="false">K24*L24</f>
        <v>174000</v>
      </c>
      <c r="O24" s="0" t="s">
        <v>260</v>
      </c>
      <c r="P24" s="50" t="n">
        <v>174000</v>
      </c>
      <c r="Q24" s="0" t="n">
        <v>1</v>
      </c>
      <c r="R24" s="71" t="n">
        <f aca="false">P24*Q24</f>
        <v>174000</v>
      </c>
      <c r="V24" s="77" t="n">
        <f aca="false">SUM(AB15:AB19,AB22:AB26)</f>
        <v>0</v>
      </c>
    </row>
    <row r="25" customFormat="false" ht="12.75" hidden="false" customHeight="false" outlineLevel="0" collapsed="false">
      <c r="J25" s="0" t="s">
        <v>261</v>
      </c>
      <c r="K25" s="50" t="n">
        <v>216000</v>
      </c>
      <c r="L25" s="0" t="n">
        <v>4</v>
      </c>
      <c r="M25" s="50" t="n">
        <f aca="false">K25*L25</f>
        <v>864000</v>
      </c>
      <c r="O25" s="0" t="s">
        <v>261</v>
      </c>
      <c r="P25" s="50" t="n">
        <v>216000</v>
      </c>
      <c r="R25" s="71" t="n">
        <f aca="false">P25*Q25</f>
        <v>0</v>
      </c>
      <c r="V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F26" s="109" t="n">
        <v>2</v>
      </c>
      <c r="J26" s="0" t="s">
        <v>262</v>
      </c>
      <c r="K26" s="50" t="n">
        <v>312000</v>
      </c>
      <c r="L26" s="0" t="n">
        <v>1</v>
      </c>
      <c r="M26" s="50" t="n">
        <f aca="false">K26*L26</f>
        <v>312000</v>
      </c>
      <c r="O26" s="0" t="s">
        <v>262</v>
      </c>
      <c r="P26" s="50" t="n">
        <v>312000</v>
      </c>
      <c r="R26" s="71" t="n">
        <f aca="false">P26*Q26</f>
        <v>0</v>
      </c>
      <c r="V26" s="77" t="n">
        <f aca="false">SUM(AB20:AB21)</f>
        <v>0</v>
      </c>
    </row>
    <row r="27" customFormat="false" ht="12.75" hidden="false" customHeight="false" outlineLevel="0" collapsed="false">
      <c r="L27" s="50" t="n">
        <f aca="false">SUM(L16:L26)</f>
        <v>45</v>
      </c>
      <c r="M27" s="50" t="n">
        <f aca="false">SUM(M16:M26)</f>
        <v>4339200</v>
      </c>
      <c r="P27" s="50"/>
      <c r="Q27" s="0" t="n">
        <f aca="false">SUM(Q16:Q26)</f>
        <v>7</v>
      </c>
      <c r="R27" s="71" t="n">
        <f aca="false">SUM(R16:R26)</f>
        <v>616800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103</v>
      </c>
      <c r="F28" s="109" t="n">
        <f aca="false">SUM(F24:F26)</f>
        <v>45</v>
      </c>
      <c r="P28" s="50"/>
      <c r="Q28" s="50"/>
      <c r="V28" s="77" t="n">
        <v>1</v>
      </c>
    </row>
    <row r="29" customFormat="false" ht="12.75" hidden="false" customHeight="false" outlineLevel="0" collapsed="false">
      <c r="B29" s="73"/>
      <c r="J29" s="0" t="s">
        <v>249</v>
      </c>
      <c r="L29" s="78"/>
      <c r="M29" s="78" t="n">
        <v>0.2</v>
      </c>
      <c r="O29" s="0" t="s">
        <v>249</v>
      </c>
      <c r="P29" s="50"/>
      <c r="Q29" s="78"/>
      <c r="R29" s="78" t="n">
        <v>0.2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F30" s="65"/>
      <c r="P30" s="50"/>
      <c r="Q30" s="50"/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  <c r="F31" s="65"/>
      <c r="M31" s="50" t="n">
        <f aca="false">M27*1.2</f>
        <v>5207040</v>
      </c>
      <c r="P31" s="50"/>
      <c r="Q31" s="50"/>
      <c r="R31" s="50" t="n">
        <f aca="false">R27*1.2</f>
        <v>740160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F32" s="65"/>
      <c r="P32" s="50"/>
      <c r="Q32" s="50"/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  <c r="F33" s="65"/>
      <c r="J33" s="17" t="s">
        <v>164</v>
      </c>
      <c r="N33" s="50"/>
    </row>
    <row r="34" customFormat="false" ht="13.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  <c r="F34" s="65"/>
      <c r="J34" s="105" t="s">
        <v>299</v>
      </c>
      <c r="K34" s="105"/>
      <c r="L34" s="105"/>
      <c r="M34" s="105"/>
      <c r="N34" s="50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  <c r="F35" s="65"/>
      <c r="J35" s="79" t="s">
        <v>165</v>
      </c>
      <c r="L35" s="80" t="s">
        <v>166</v>
      </c>
      <c r="M35" s="80" t="s">
        <v>167</v>
      </c>
      <c r="N35" s="80" t="s">
        <v>110</v>
      </c>
      <c r="O35" s="80" t="s">
        <v>168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F36" s="65"/>
      <c r="J36" s="81" t="n">
        <f aca="false">SUM(E11:E20)</f>
        <v>599795.4</v>
      </c>
      <c r="L36" s="111" t="n">
        <f aca="false">E28</f>
        <v>103</v>
      </c>
      <c r="M36" s="80" t="n">
        <f aca="false">+J36/L36</f>
        <v>5823.25631067961</v>
      </c>
      <c r="N36" s="111" t="n">
        <v>46</v>
      </c>
      <c r="O36" s="80" t="n">
        <f aca="false">+M36*N36+500000+571398</f>
        <v>1339267.79029126</v>
      </c>
      <c r="P36" s="0" t="s">
        <v>300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  <c r="F37" s="65"/>
      <c r="P37" s="0" t="s">
        <v>301</v>
      </c>
    </row>
    <row r="38" customFormat="false" ht="12.75" hidden="false" customHeight="false" outlineLevel="0" collapsed="false">
      <c r="A38" s="63"/>
      <c r="B38" s="64"/>
      <c r="C38" s="65"/>
      <c r="E38" s="65"/>
      <c r="F38" s="65"/>
      <c r="P38" s="0" t="s">
        <v>302</v>
      </c>
    </row>
    <row r="39" customFormat="false" ht="12.75" hidden="false" customHeight="false" outlineLevel="0" collapsed="false">
      <c r="A39" s="63"/>
      <c r="B39" s="64"/>
      <c r="C39" s="65"/>
      <c r="E39" s="65"/>
      <c r="F39" s="65"/>
      <c r="P39" s="0" t="s">
        <v>303</v>
      </c>
    </row>
    <row r="40" customFormat="false" ht="13.5" hidden="false" customHeight="false" outlineLevel="0" collapsed="false">
      <c r="A40" s="63"/>
      <c r="B40" s="64"/>
      <c r="C40" s="65"/>
      <c r="E40" s="65"/>
      <c r="F40" s="65"/>
      <c r="J40" s="105" t="s">
        <v>74</v>
      </c>
      <c r="K40" s="105"/>
      <c r="L40" s="105"/>
      <c r="M40" s="105"/>
      <c r="N40" s="50"/>
      <c r="P40" s="0" t="s">
        <v>304</v>
      </c>
    </row>
    <row r="41" customFormat="false" ht="12.75" hidden="false" customHeight="false" outlineLevel="0" collapsed="false">
      <c r="J41" s="79" t="s">
        <v>165</v>
      </c>
      <c r="L41" s="80" t="s">
        <v>166</v>
      </c>
      <c r="M41" s="80" t="s">
        <v>167</v>
      </c>
      <c r="N41" s="80" t="s">
        <v>110</v>
      </c>
      <c r="O41" s="80" t="s">
        <v>168</v>
      </c>
    </row>
    <row r="42" customFormat="false" ht="12.75" hidden="false" customHeight="false" outlineLevel="0" collapsed="false">
      <c r="J42" s="81" t="n">
        <f aca="false">SUM(E11:E20)</f>
        <v>599795.4</v>
      </c>
      <c r="L42" s="111" t="n">
        <v>103</v>
      </c>
      <c r="M42" s="80" t="n">
        <f aca="false">+J42/L42</f>
        <v>5823.25631067961</v>
      </c>
      <c r="N42" s="111" t="n">
        <v>7</v>
      </c>
      <c r="O42" s="80" t="n">
        <f aca="false">+M42*N42+300000</f>
        <v>340762.794174757</v>
      </c>
      <c r="P42" s="0" t="s">
        <v>305</v>
      </c>
    </row>
    <row r="43" customFormat="false" ht="12.75" hidden="false" customHeight="false" outlineLevel="0" collapsed="false">
      <c r="P43" s="0" t="s">
        <v>306</v>
      </c>
    </row>
    <row r="45" customFormat="false" ht="12.75" hidden="false" customHeight="false" outlineLevel="0" collapsed="false">
      <c r="C45" s="103" t="n">
        <f aca="false">C22+C30+C31+C32+C33+C34+C35+C36+C37</f>
        <v>6380656.07</v>
      </c>
    </row>
  </sheetData>
  <mergeCells count="7">
    <mergeCell ref="B1:H1"/>
    <mergeCell ref="B2:H2"/>
    <mergeCell ref="B3:H3"/>
    <mergeCell ref="J4:M4"/>
    <mergeCell ref="O4:R4"/>
    <mergeCell ref="J34:M34"/>
    <mergeCell ref="J40:M40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74</v>
      </c>
      <c r="C2" s="51"/>
      <c r="D2" s="51"/>
      <c r="E2" s="51"/>
      <c r="F2" s="51"/>
      <c r="G2" s="51"/>
      <c r="H2" s="51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3.5" hidden="false" customHeight="false" outlineLevel="0" collapsed="false">
      <c r="J4" s="105" t="s">
        <v>299</v>
      </c>
      <c r="K4" s="105"/>
      <c r="L4" s="105"/>
      <c r="M4" s="105"/>
      <c r="O4" s="105" t="s">
        <v>74</v>
      </c>
      <c r="P4" s="105"/>
      <c r="Q4" s="105"/>
      <c r="R4" s="105"/>
    </row>
    <row r="5" customFormat="false" ht="12.75" hidden="false" customHeight="false" outlineLevel="0" collapsed="false">
      <c r="J5" s="85"/>
      <c r="K5" s="57"/>
      <c r="L5" s="57"/>
      <c r="M5" s="58"/>
      <c r="N5" s="27"/>
      <c r="O5" s="85"/>
      <c r="P5" s="57"/>
      <c r="Q5" s="57"/>
      <c r="R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61" t="s">
        <v>214</v>
      </c>
      <c r="J6" s="88"/>
      <c r="K6" s="80" t="s">
        <v>109</v>
      </c>
      <c r="L6" s="80" t="s">
        <v>110</v>
      </c>
      <c r="M6" s="106" t="s">
        <v>232</v>
      </c>
      <c r="N6" s="27"/>
      <c r="O6" s="88"/>
      <c r="P6" s="80" t="s">
        <v>109</v>
      </c>
      <c r="Q6" s="80" t="s">
        <v>110</v>
      </c>
      <c r="R6" s="106" t="s">
        <v>232</v>
      </c>
      <c r="V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62" t="s">
        <v>215</v>
      </c>
      <c r="J7" s="88"/>
      <c r="M7" s="60"/>
      <c r="N7" s="27"/>
      <c r="O7" s="88"/>
      <c r="P7" s="50"/>
      <c r="Q7" s="50"/>
      <c r="R7" s="60"/>
      <c r="V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M27</f>
        <v>4252800</v>
      </c>
      <c r="F8" s="65" t="n">
        <f aca="false">((R16+R17+R18+R22+R23+R24)*1.2)*0.917</f>
        <v>603459.36</v>
      </c>
      <c r="J8" s="88"/>
      <c r="M8" s="60"/>
      <c r="N8" s="27"/>
      <c r="O8" s="88"/>
      <c r="P8" s="50"/>
      <c r="Q8" s="50"/>
      <c r="R8" s="60"/>
      <c r="V8" s="65" t="n">
        <f aca="false">+F8/$F$28*$V$28</f>
        <v>100576.56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F9" s="65" t="n">
        <v>0</v>
      </c>
      <c r="J9" s="88"/>
      <c r="M9" s="60"/>
      <c r="N9" s="27"/>
      <c r="O9" s="88"/>
      <c r="P9" s="50"/>
      <c r="Q9" s="50"/>
      <c r="R9" s="60"/>
      <c r="V9" s="65" t="n">
        <f aca="false">+F9/$F$28*$V$28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'[16]Team Report'!BA26</f>
        <v>1210281.11</v>
      </c>
      <c r="E10" s="65" t="n">
        <f aca="false">M31</f>
        <v>5103360</v>
      </c>
      <c r="F10" s="65" t="n">
        <f aca="false">(((F8+F9)*0.2)*1.2)*0.917</f>
        <v>132809.3359488</v>
      </c>
      <c r="H10" s="0" t="n">
        <v>1.2</v>
      </c>
      <c r="J10" s="88"/>
      <c r="M10" s="60"/>
      <c r="N10" s="27"/>
      <c r="O10" s="88"/>
      <c r="P10" s="50"/>
      <c r="Q10" s="50"/>
      <c r="R10" s="60"/>
      <c r="V10" s="65" t="n">
        <f aca="false">+F10/$F$28*$V$28</f>
        <v>22134.8893248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'[16]Team Report'!BA27</f>
        <v>190029.97</v>
      </c>
      <c r="E11" s="65" t="n">
        <f aca="false">(C11/9)*12</f>
        <v>253373.293333333</v>
      </c>
      <c r="F11" s="65" t="n">
        <f aca="false">(((E11/$E$28*7)+7477+46)*1.2)*0.917</f>
        <v>27226.6956455146</v>
      </c>
      <c r="J11" s="88" t="s">
        <v>83</v>
      </c>
      <c r="K11" s="50" t="n">
        <f aca="false">(E11+E12+E13+E14+E15+E16+E17+E18+E19+E20+22)/E28</f>
        <v>5823.46990291262</v>
      </c>
      <c r="L11" s="50" t="n">
        <f aca="false">L27</f>
        <v>46</v>
      </c>
      <c r="M11" s="60" t="n">
        <f aca="false">K11*L11+600000+704684</f>
        <v>1572563.61553398</v>
      </c>
      <c r="N11" s="27"/>
      <c r="O11" s="88" t="s">
        <v>83</v>
      </c>
      <c r="P11" s="50" t="n">
        <f aca="false">K11</f>
        <v>5823.46990291262</v>
      </c>
      <c r="Q11" s="50" t="n">
        <f aca="false">Q27</f>
        <v>6</v>
      </c>
      <c r="R11" s="60" t="n">
        <f aca="false">P11*Q11+360000-3367</f>
        <v>391573.819417476</v>
      </c>
      <c r="V11" s="65" t="n">
        <f aca="false">+F11/$F$28*$V$28</f>
        <v>4537.78260758576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'[16]Team Report'!BA28</f>
        <v>78390.58</v>
      </c>
      <c r="E12" s="65" t="n">
        <f aca="false">(C12/9)*12</f>
        <v>104520.773333333</v>
      </c>
      <c r="F12" s="65" t="n">
        <f aca="false">(((E12/$E$28*7)+6000)*1.2)*0.917</f>
        <v>14418.9302216699</v>
      </c>
      <c r="J12" s="88"/>
      <c r="M12" s="60"/>
      <c r="N12" s="27"/>
      <c r="O12" s="88"/>
      <c r="P12" s="50"/>
      <c r="Q12" s="50"/>
      <c r="R12" s="60"/>
      <c r="V12" s="65" t="n">
        <f aca="false">+F12/$F$28*$V$28</f>
        <v>2403.15503694498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f aca="false">(C13/9)*12</f>
        <v>0</v>
      </c>
      <c r="F13" s="65" t="n">
        <v>363132</v>
      </c>
      <c r="J13" s="93" t="s">
        <v>129</v>
      </c>
      <c r="K13" s="69"/>
      <c r="L13" s="69"/>
      <c r="M13" s="70" t="n">
        <f aca="false">SUM(M9:M11)</f>
        <v>1572563.61553398</v>
      </c>
      <c r="N13" s="27"/>
      <c r="O13" s="93" t="s">
        <v>129</v>
      </c>
      <c r="P13" s="69"/>
      <c r="Q13" s="69"/>
      <c r="R13" s="70" t="n">
        <f aca="false">SUM(R9:R11)</f>
        <v>391573.819417476</v>
      </c>
      <c r="V13" s="65" t="n">
        <f aca="false">+F13/$F$28*$V$28</f>
        <v>60522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'[16]Team Report'!BA33</f>
        <v>69921.63</v>
      </c>
      <c r="E14" s="65" t="n">
        <f aca="false">(C14/9)*12</f>
        <v>93228.84</v>
      </c>
      <c r="F14" s="65" t="n">
        <f aca="false">(((E14/$E$28*7)+2000)*1.2)*0.917</f>
        <v>9172.86901700971</v>
      </c>
      <c r="J14" s="27"/>
      <c r="N14" s="27"/>
      <c r="V14" s="65" t="n">
        <f aca="false">+F14/$F$28*$V$28</f>
        <v>1528.81150283495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'[16]Team Report'!BA34</f>
        <v>0</v>
      </c>
      <c r="E15" s="65" t="n">
        <f aca="false">(C15/9)*12</f>
        <v>0</v>
      </c>
      <c r="F15" s="65" t="n">
        <f aca="false">((E15/$E$28*7)*1.2)*0.917</f>
        <v>0</v>
      </c>
      <c r="I15" s="71"/>
      <c r="J15" s="27"/>
      <c r="M15" s="50" t="n">
        <f aca="false">N15-F22</f>
        <v>515473.179487938</v>
      </c>
      <c r="N15" s="112" t="n">
        <f aca="false">M13+R13</f>
        <v>1964137.43495146</v>
      </c>
      <c r="V15" s="65" t="n">
        <f aca="false">+F15/$F$28*$V$28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'[16]Team Report'!BA35</f>
        <v>0</v>
      </c>
      <c r="E16" s="65" t="n">
        <f aca="false">(C16/9)*12</f>
        <v>0</v>
      </c>
      <c r="F16" s="65" t="n">
        <f aca="false">((E16/$E$28*7)*1.2)*0.917</f>
        <v>0</v>
      </c>
      <c r="J16" s="27" t="s">
        <v>193</v>
      </c>
      <c r="K16" s="50" t="n">
        <f aca="false">(30000*1.2)</f>
        <v>36000</v>
      </c>
      <c r="L16" s="0" t="n">
        <v>0</v>
      </c>
      <c r="M16" s="50" t="n">
        <f aca="false">K16*L16</f>
        <v>0</v>
      </c>
      <c r="O16" s="27" t="s">
        <v>193</v>
      </c>
      <c r="P16" s="50" t="n">
        <f aca="false">(30000*1.2)</f>
        <v>36000</v>
      </c>
      <c r="Q16" s="27" t="n">
        <v>0</v>
      </c>
      <c r="R16" s="71" t="n">
        <f aca="false">P16*Q16</f>
        <v>0</v>
      </c>
      <c r="V16" s="65" t="n">
        <f aca="false">+F16/$F$28*$V$28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'[16]Team Report'!BA36</f>
        <v>19039.67</v>
      </c>
      <c r="E17" s="65" t="n">
        <f aca="false">(C17/9)*12</f>
        <v>25386.2266666667</v>
      </c>
      <c r="F17" s="65" t="n">
        <f aca="false">(((E17/$E$28*7)+2000)*1.2)*0.917</f>
        <v>4099.29540551456</v>
      </c>
      <c r="J17" s="0" t="s">
        <v>255</v>
      </c>
      <c r="K17" s="50" t="n">
        <f aca="false">(40000*1.2)*1.2</f>
        <v>57600</v>
      </c>
      <c r="L17" s="0" t="n">
        <v>3</v>
      </c>
      <c r="M17" s="50" t="n">
        <f aca="false">K17*L17</f>
        <v>172800</v>
      </c>
      <c r="O17" s="0" t="s">
        <v>255</v>
      </c>
      <c r="P17" s="50" t="n">
        <f aca="false">(40000*1.2)*1.2</f>
        <v>57600</v>
      </c>
      <c r="Q17" s="0" t="n">
        <v>2</v>
      </c>
      <c r="R17" s="71" t="n">
        <f aca="false">P17*Q17</f>
        <v>115200</v>
      </c>
      <c r="V17" s="65" t="n">
        <f aca="false">+F17/$F$28*$V$28</f>
        <v>683.215900919094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'[16]Team Report'!BA37</f>
        <v>17422.02</v>
      </c>
      <c r="E18" s="65" t="n">
        <f aca="false">(C18/9)*12</f>
        <v>23229.36</v>
      </c>
      <c r="F18" s="65" t="n">
        <f aca="false">(((E18/$E$28*7)+7000)*1.2)*0.917</f>
        <v>9439.99528357282</v>
      </c>
      <c r="J18" s="0" t="s">
        <v>142</v>
      </c>
      <c r="K18" s="50" t="n">
        <v>49200</v>
      </c>
      <c r="L18" s="0" t="n">
        <v>1</v>
      </c>
      <c r="M18" s="50" t="n">
        <f aca="false">K18*L18</f>
        <v>49200</v>
      </c>
      <c r="O18" s="0" t="s">
        <v>142</v>
      </c>
      <c r="P18" s="50" t="n">
        <v>49200</v>
      </c>
      <c r="Q18" s="0" t="n">
        <v>1</v>
      </c>
      <c r="R18" s="71" t="n">
        <f aca="false">P18*Q18</f>
        <v>49200</v>
      </c>
      <c r="V18" s="65" t="n">
        <f aca="false">+F18/$F$28*$V$28</f>
        <v>1573.33254726214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'[16]Team Report'!BA38</f>
        <v>0</v>
      </c>
      <c r="E19" s="65" t="n">
        <f aca="false">(C19/9)*12</f>
        <v>0</v>
      </c>
      <c r="F19" s="65" t="n">
        <f aca="false">((E19/$E$28*46)*1.2)*0.917</f>
        <v>0</v>
      </c>
      <c r="J19" s="0" t="s">
        <v>256</v>
      </c>
      <c r="K19" s="50" t="n">
        <v>57600</v>
      </c>
      <c r="L19" s="0" t="n">
        <v>3</v>
      </c>
      <c r="M19" s="50" t="n">
        <f aca="false">K19*L19</f>
        <v>172800</v>
      </c>
      <c r="O19" s="0" t="s">
        <v>256</v>
      </c>
      <c r="P19" s="50" t="n">
        <v>57600</v>
      </c>
      <c r="Q19" s="0" t="n">
        <v>0</v>
      </c>
      <c r="R19" s="71" t="n">
        <f aca="false">P19*Q19</f>
        <v>0</v>
      </c>
      <c r="V19" s="65" t="n">
        <f aca="false">+F19/$F$28*$V$28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'[16]Team Report'!BA42</f>
        <v>75042.68</v>
      </c>
      <c r="E20" s="65" t="n">
        <f aca="false">(C20/9)*12</f>
        <v>100056.906666667</v>
      </c>
      <c r="F20" s="65" t="n">
        <f aca="false">(((E20/$E$28*7)+2000+250000)*1.2)*0.917</f>
        <v>284783.502336621</v>
      </c>
      <c r="J20" s="0" t="s">
        <v>145</v>
      </c>
      <c r="K20" s="50" t="n">
        <v>62400</v>
      </c>
      <c r="L20" s="0" t="n">
        <v>12</v>
      </c>
      <c r="M20" s="50" t="n">
        <f aca="false">K20*L20</f>
        <v>748800</v>
      </c>
      <c r="O20" s="0" t="s">
        <v>145</v>
      </c>
      <c r="P20" s="50" t="n">
        <v>62400</v>
      </c>
      <c r="Q20" s="0" t="n">
        <v>0</v>
      </c>
      <c r="R20" s="71" t="n">
        <f aca="false">P20*Q20</f>
        <v>0</v>
      </c>
      <c r="V20" s="65" t="n">
        <f aca="false">+F20/$F$28*$V$28</f>
        <v>47463.9170561036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'[16]Team Report'!BA44</f>
        <v>1226.24</v>
      </c>
      <c r="E21" s="65" t="n">
        <f aca="false">(C21/9)*12</f>
        <v>1634.98666666667</v>
      </c>
      <c r="F21" s="65" t="n">
        <f aca="false">((E21/$E$28*7)*1.2)*0.917</f>
        <v>122.271604815534</v>
      </c>
      <c r="J21" s="0" t="s">
        <v>257</v>
      </c>
      <c r="K21" s="50" t="n">
        <v>74400</v>
      </c>
      <c r="L21" s="0" t="n">
        <v>8</v>
      </c>
      <c r="M21" s="50" t="n">
        <f aca="false">K21*L21</f>
        <v>595200</v>
      </c>
      <c r="O21" s="0" t="s">
        <v>257</v>
      </c>
      <c r="P21" s="50" t="n">
        <v>74400</v>
      </c>
      <c r="Q21" s="0" t="n">
        <v>0</v>
      </c>
      <c r="R21" s="71" t="n">
        <f aca="false">P21*Q21</f>
        <v>0</v>
      </c>
      <c r="V21" s="65" t="n">
        <f aca="false">+F21/$F$28*$V$28</f>
        <v>20.378600802589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6646856.13</v>
      </c>
      <c r="E22" s="77" t="n">
        <f aca="false">SUM(E8:E21)</f>
        <v>9957590.38666667</v>
      </c>
      <c r="F22" s="77" t="n">
        <f aca="false">SUM(F8:F21)</f>
        <v>1448664.25546352</v>
      </c>
      <c r="J22" s="0" t="s">
        <v>258</v>
      </c>
      <c r="K22" s="50" t="n">
        <v>90000</v>
      </c>
      <c r="L22" s="0" t="n">
        <v>10</v>
      </c>
      <c r="M22" s="50" t="n">
        <f aca="false">K22*L22</f>
        <v>900000</v>
      </c>
      <c r="O22" s="0" t="s">
        <v>258</v>
      </c>
      <c r="P22" s="50" t="n">
        <v>90000</v>
      </c>
      <c r="Q22" s="0" t="n">
        <v>1</v>
      </c>
      <c r="R22" s="71" t="n">
        <f aca="false">P22*Q22</f>
        <v>90000</v>
      </c>
      <c r="V22" s="96" t="n">
        <f aca="false">SUM(V8:V21)</f>
        <v>241444.042577253</v>
      </c>
    </row>
    <row r="23" customFormat="false" ht="12.75" hidden="false" customHeight="false" outlineLevel="0" collapsed="false">
      <c r="J23" s="0" t="s">
        <v>259</v>
      </c>
      <c r="K23" s="50" t="n">
        <v>120000</v>
      </c>
      <c r="L23" s="0" t="n">
        <v>4</v>
      </c>
      <c r="M23" s="50" t="n">
        <f aca="false">K23*L23</f>
        <v>480000</v>
      </c>
      <c r="O23" s="0" t="s">
        <v>259</v>
      </c>
      <c r="P23" s="50" t="n">
        <v>120000</v>
      </c>
      <c r="Q23" s="0" t="n">
        <v>1</v>
      </c>
      <c r="R23" s="71" t="n">
        <f aca="false">P23*Q23</f>
        <v>120000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99</v>
      </c>
      <c r="F24" s="109" t="n">
        <f aca="false">+Q27</f>
        <v>6</v>
      </c>
      <c r="J24" s="0" t="s">
        <v>260</v>
      </c>
      <c r="K24" s="50" t="n">
        <v>174000</v>
      </c>
      <c r="L24" s="0" t="n">
        <v>1</v>
      </c>
      <c r="M24" s="50" t="n">
        <f aca="false">K24*L24</f>
        <v>174000</v>
      </c>
      <c r="O24" s="0" t="s">
        <v>260</v>
      </c>
      <c r="P24" s="50" t="n">
        <v>174000</v>
      </c>
      <c r="Q24" s="0" t="n">
        <v>1</v>
      </c>
      <c r="R24" s="71" t="n">
        <f aca="false">P24*Q24</f>
        <v>174000</v>
      </c>
      <c r="V24" s="77" t="n">
        <f aca="false">SUM(AB15:AB19,AB22:AB26)</f>
        <v>0</v>
      </c>
    </row>
    <row r="25" customFormat="false" ht="12.75" hidden="false" customHeight="false" outlineLevel="0" collapsed="false">
      <c r="J25" s="0" t="s">
        <v>261</v>
      </c>
      <c r="K25" s="50" t="n">
        <v>216000</v>
      </c>
      <c r="L25" s="0" t="n">
        <v>3</v>
      </c>
      <c r="M25" s="50" t="n">
        <f aca="false">K25*L25</f>
        <v>648000</v>
      </c>
      <c r="O25" s="0" t="s">
        <v>261</v>
      </c>
      <c r="P25" s="50" t="n">
        <v>216000</v>
      </c>
      <c r="Q25" s="0" t="n">
        <v>0</v>
      </c>
      <c r="R25" s="71" t="n">
        <f aca="false">P25*Q25</f>
        <v>0</v>
      </c>
      <c r="V25" s="65"/>
    </row>
    <row r="26" customFormat="false" ht="12.75" hidden="false" customHeight="false" outlineLevel="0" collapsed="false">
      <c r="B26" s="73" t="s">
        <v>161</v>
      </c>
      <c r="C26" s="109"/>
      <c r="E26" s="109" t="n">
        <v>4</v>
      </c>
      <c r="F26" s="109" t="n">
        <v>0</v>
      </c>
      <c r="J26" s="0" t="s">
        <v>262</v>
      </c>
      <c r="K26" s="50" t="n">
        <v>312000</v>
      </c>
      <c r="L26" s="0" t="n">
        <v>1</v>
      </c>
      <c r="M26" s="50" t="n">
        <f aca="false">K26*L26</f>
        <v>312000</v>
      </c>
      <c r="O26" s="0" t="s">
        <v>262</v>
      </c>
      <c r="P26" s="50" t="n">
        <v>312000</v>
      </c>
      <c r="Q26" s="0" t="n">
        <v>0</v>
      </c>
      <c r="R26" s="71" t="n">
        <f aca="false">P26*Q26</f>
        <v>0</v>
      </c>
      <c r="V26" s="77" t="n">
        <f aca="false">SUM(AB20:AB21)</f>
        <v>0</v>
      </c>
    </row>
    <row r="27" customFormat="false" ht="12.75" hidden="false" customHeight="false" outlineLevel="0" collapsed="false">
      <c r="L27" s="50" t="n">
        <f aca="false">SUM(L16:L26)</f>
        <v>46</v>
      </c>
      <c r="M27" s="50" t="n">
        <f aca="false">SUM(M16:M26)</f>
        <v>4252800</v>
      </c>
      <c r="P27" s="50"/>
      <c r="Q27" s="0" t="n">
        <f aca="false">SUM(Q16:Q26)</f>
        <v>6</v>
      </c>
      <c r="R27" s="71" t="n">
        <f aca="false">SUM(R16:R26)</f>
        <v>548400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103</v>
      </c>
      <c r="F28" s="109" t="n">
        <f aca="false">SUM(F24:F26)</f>
        <v>6</v>
      </c>
      <c r="P28" s="50"/>
      <c r="Q28" s="50"/>
      <c r="V28" s="77" t="n">
        <v>1</v>
      </c>
    </row>
    <row r="29" customFormat="false" ht="12.75" hidden="false" customHeight="false" outlineLevel="0" collapsed="false">
      <c r="B29" s="73"/>
      <c r="J29" s="0" t="s">
        <v>249</v>
      </c>
      <c r="L29" s="78"/>
      <c r="M29" s="78" t="n">
        <v>0.2</v>
      </c>
      <c r="O29" s="0" t="s">
        <v>249</v>
      </c>
      <c r="P29" s="50"/>
      <c r="Q29" s="78"/>
      <c r="R29" s="78" t="n">
        <v>0.2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'[16]Team Report'!BA29</f>
        <v>0</v>
      </c>
      <c r="E30" s="65" t="n">
        <f aca="false">(C30/9)*12</f>
        <v>0</v>
      </c>
      <c r="F30" s="65"/>
      <c r="P30" s="50"/>
      <c r="Q30" s="50"/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'[16]Team Report'!BA30</f>
        <v>0</v>
      </c>
      <c r="E31" s="65" t="n">
        <f aca="false">(C31/9)*12</f>
        <v>0</v>
      </c>
      <c r="F31" s="65"/>
      <c r="M31" s="50" t="n">
        <f aca="false">M27*1.2</f>
        <v>5103360</v>
      </c>
      <c r="P31" s="50"/>
      <c r="Q31" s="50"/>
      <c r="R31" s="50" t="n">
        <f aca="false">R27*1.2</f>
        <v>658080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'[16]Team Report'!BA31</f>
        <v>0</v>
      </c>
      <c r="E32" s="65" t="n">
        <f aca="false">(C32/9)*12</f>
        <v>0</v>
      </c>
      <c r="F32" s="65"/>
      <c r="P32" s="50"/>
      <c r="Q32" s="50"/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'[16]Team Report'!BA39</f>
        <v>0</v>
      </c>
      <c r="E33" s="65" t="n">
        <f aca="false">(C33/9)*12</f>
        <v>0</v>
      </c>
      <c r="F33" s="65"/>
      <c r="J33" s="17" t="s">
        <v>164</v>
      </c>
      <c r="N33" s="50"/>
    </row>
    <row r="34" customFormat="false" ht="13.5" hidden="true" customHeight="false" outlineLevel="0" collapsed="false">
      <c r="A34" s="63" t="s">
        <v>226</v>
      </c>
      <c r="B34" s="64" t="s">
        <v>240</v>
      </c>
      <c r="C34" s="65" t="n">
        <f aca="false">'[16]Team Report'!BA40</f>
        <v>24670.39</v>
      </c>
      <c r="E34" s="65" t="n">
        <f aca="false">(C34/9)*12</f>
        <v>32893.8533333333</v>
      </c>
      <c r="F34" s="65"/>
      <c r="J34" s="105" t="s">
        <v>299</v>
      </c>
      <c r="K34" s="105"/>
      <c r="L34" s="105"/>
      <c r="M34" s="105"/>
      <c r="N34" s="50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'[16]Team Report'!BA41</f>
        <v>481045.43</v>
      </c>
      <c r="E35" s="65" t="n">
        <f aca="false">(C35/9)*12</f>
        <v>641393.906666667</v>
      </c>
      <c r="F35" s="65"/>
      <c r="J35" s="79" t="s">
        <v>165</v>
      </c>
      <c r="L35" s="80" t="s">
        <v>166</v>
      </c>
      <c r="M35" s="80" t="s">
        <v>167</v>
      </c>
      <c r="N35" s="80" t="s">
        <v>110</v>
      </c>
      <c r="O35" s="80" t="s">
        <v>168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'[16]Team Report'!BA43</f>
        <v>-771915.88</v>
      </c>
      <c r="E36" s="65" t="n">
        <f aca="false">(C36/9)*12</f>
        <v>-1029221.17333333</v>
      </c>
      <c r="F36" s="65"/>
      <c r="J36" s="81" t="n">
        <f aca="false">SUM(E11:E20)</f>
        <v>599795.4</v>
      </c>
      <c r="L36" s="111" t="n">
        <f aca="false">E28</f>
        <v>103</v>
      </c>
      <c r="M36" s="80" t="n">
        <f aca="false">+J36/L36</f>
        <v>5823.25631067961</v>
      </c>
      <c r="N36" s="111" t="n">
        <v>46</v>
      </c>
      <c r="O36" s="80" t="n">
        <f aca="false">+M36*N36+500000+571398</f>
        <v>1339267.79029126</v>
      </c>
      <c r="P36" s="0" t="s">
        <v>300</v>
      </c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'[16]Team Report'!BA45</f>
        <v>0</v>
      </c>
      <c r="E37" s="65" t="n">
        <f aca="false">(C37/9)*12</f>
        <v>0</v>
      </c>
      <c r="F37" s="65"/>
      <c r="P37" s="0" t="s">
        <v>301</v>
      </c>
    </row>
    <row r="38" customFormat="false" ht="12.75" hidden="false" customHeight="false" outlineLevel="0" collapsed="false">
      <c r="A38" s="63"/>
      <c r="B38" s="64"/>
      <c r="C38" s="65"/>
      <c r="E38" s="65"/>
      <c r="F38" s="65"/>
      <c r="P38" s="0" t="s">
        <v>302</v>
      </c>
    </row>
    <row r="39" customFormat="false" ht="12.75" hidden="false" customHeight="false" outlineLevel="0" collapsed="false">
      <c r="A39" s="63"/>
      <c r="B39" s="64"/>
      <c r="C39" s="65"/>
      <c r="E39" s="65"/>
      <c r="F39" s="65"/>
      <c r="P39" s="0" t="s">
        <v>303</v>
      </c>
    </row>
    <row r="40" customFormat="false" ht="13.5" hidden="false" customHeight="false" outlineLevel="0" collapsed="false">
      <c r="A40" s="63"/>
      <c r="B40" s="64"/>
      <c r="C40" s="65"/>
      <c r="E40" s="65"/>
      <c r="F40" s="65"/>
      <c r="J40" s="105" t="s">
        <v>74</v>
      </c>
      <c r="K40" s="105"/>
      <c r="L40" s="105"/>
      <c r="M40" s="105"/>
      <c r="N40" s="50"/>
      <c r="P40" s="0" t="s">
        <v>304</v>
      </c>
    </row>
    <row r="41" customFormat="false" ht="12.75" hidden="false" customHeight="false" outlineLevel="0" collapsed="false">
      <c r="J41" s="79" t="s">
        <v>165</v>
      </c>
      <c r="L41" s="80" t="s">
        <v>166</v>
      </c>
      <c r="M41" s="80" t="s">
        <v>167</v>
      </c>
      <c r="N41" s="80" t="s">
        <v>110</v>
      </c>
      <c r="O41" s="80" t="s">
        <v>168</v>
      </c>
    </row>
    <row r="42" customFormat="false" ht="12.75" hidden="false" customHeight="false" outlineLevel="0" collapsed="false">
      <c r="J42" s="81" t="n">
        <f aca="false">SUM(E11:E20)</f>
        <v>599795.4</v>
      </c>
      <c r="L42" s="111" t="n">
        <v>103</v>
      </c>
      <c r="M42" s="80" t="n">
        <f aca="false">+J42/L42</f>
        <v>5823.25631067961</v>
      </c>
      <c r="N42" s="111" t="n">
        <v>7</v>
      </c>
      <c r="O42" s="80" t="n">
        <f aca="false">+M42*N42+300000</f>
        <v>340762.794174757</v>
      </c>
      <c r="P42" s="0" t="s">
        <v>305</v>
      </c>
    </row>
    <row r="43" customFormat="false" ht="12.75" hidden="false" customHeight="false" outlineLevel="0" collapsed="false">
      <c r="P43" s="0" t="s">
        <v>306</v>
      </c>
    </row>
    <row r="45" customFormat="false" ht="12.75" hidden="false" customHeight="false" outlineLevel="0" collapsed="false">
      <c r="C45" s="103" t="n">
        <f aca="false">C22+C30+C31+C32+C33+C34+C35+C36+C37</f>
        <v>6380656.07</v>
      </c>
    </row>
  </sheetData>
  <mergeCells count="7">
    <mergeCell ref="B1:H1"/>
    <mergeCell ref="B2:H2"/>
    <mergeCell ref="B3:H3"/>
    <mergeCell ref="J4:M4"/>
    <mergeCell ref="O4:R4"/>
    <mergeCell ref="J34:M34"/>
    <mergeCell ref="J40:M40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50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53" min="17" style="0" width="9.14"/>
  </cols>
  <sheetData>
    <row r="1" customFormat="false" ht="18" hidden="false" customHeight="false" outlineLevel="0" collapsed="false">
      <c r="B1" s="51" t="str">
        <f aca="false">'[23]Team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3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tr">
        <f aca="false">'[23]Pull Sheet'!E9</f>
        <v>Tax</v>
      </c>
      <c r="C2" s="51"/>
      <c r="D2" s="51"/>
      <c r="E2" s="51"/>
      <c r="F2" s="51"/>
      <c r="G2" s="53"/>
      <c r="H2" s="53"/>
      <c r="I2" s="53"/>
      <c r="J2" s="53"/>
      <c r="K2" s="53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5"/>
      <c r="K3" s="55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113"/>
      <c r="K4" s="114"/>
      <c r="L4" s="115"/>
      <c r="M4" s="114"/>
      <c r="N4" s="114"/>
      <c r="O4" s="114"/>
      <c r="P4" s="116"/>
    </row>
    <row r="5" customFormat="false" ht="12.75" hidden="false" customHeight="false" outlineLevel="0" collapsed="false">
      <c r="J5" s="117"/>
      <c r="K5" s="27"/>
      <c r="M5" s="27"/>
      <c r="N5" s="27"/>
      <c r="O5" s="27"/>
      <c r="P5" s="3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J6" s="117"/>
      <c r="K6" s="27"/>
      <c r="L6" s="50" t="s">
        <v>109</v>
      </c>
      <c r="M6" s="27"/>
      <c r="N6" s="27" t="s">
        <v>110</v>
      </c>
      <c r="O6" s="27"/>
      <c r="P6" s="38" t="s">
        <v>307</v>
      </c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17"/>
      <c r="J7" s="118"/>
      <c r="K7" s="50"/>
      <c r="M7" s="50"/>
      <c r="N7" s="50"/>
      <c r="O7" s="50"/>
      <c r="P7" s="119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'[23]Team Report'!BA25</f>
        <v>1971599.02</v>
      </c>
      <c r="E8" s="65" t="n">
        <f aca="false">((C8/9)*12)*1.2</f>
        <v>3154558.432</v>
      </c>
      <c r="F8" s="65" t="n">
        <f aca="false">((L22+L23+45000)*1.2)*0.917</f>
        <v>808794</v>
      </c>
      <c r="J8" s="117" t="s">
        <v>120</v>
      </c>
      <c r="K8" s="50"/>
      <c r="L8" s="50" t="n">
        <v>0</v>
      </c>
      <c r="M8" s="50"/>
      <c r="N8" s="50" t="n">
        <v>4</v>
      </c>
      <c r="O8" s="50"/>
      <c r="P8" s="119" t="n">
        <f aca="false">L30</f>
        <v>828000</v>
      </c>
      <c r="Q8" s="65" t="n">
        <f aca="false">+F8/$F$28*$Q$28</f>
        <v>161758.8</v>
      </c>
    </row>
    <row r="9" customFormat="false" ht="12.75" hidden="false" customHeight="false" outlineLevel="0" collapsed="false">
      <c r="B9" s="64" t="s">
        <v>192</v>
      </c>
      <c r="C9" s="65" t="n">
        <v>0</v>
      </c>
      <c r="E9" s="65" t="n">
        <f aca="false">((C9/9)*12)*1.2</f>
        <v>0</v>
      </c>
      <c r="F9" s="65" t="n">
        <v>0</v>
      </c>
      <c r="J9" s="117" t="s">
        <v>83</v>
      </c>
      <c r="K9" s="50"/>
      <c r="L9" s="50" t="n">
        <f aca="false">+(E11+E12+E13+E14+E15+E16+E17+E18+E19+E20+E21)/E28</f>
        <v>16010.891654321</v>
      </c>
      <c r="M9" s="50"/>
      <c r="N9" s="50" t="n">
        <v>4</v>
      </c>
      <c r="O9" s="50"/>
      <c r="P9" s="119" t="n">
        <f aca="false">L9*N9+67934+22</f>
        <v>131999.566617284</v>
      </c>
      <c r="Q9" s="65" t="n">
        <f aca="false">+F9/$F$28*$Q$28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'[23]Team Report'!BA26</f>
        <v>441478.67</v>
      </c>
      <c r="E10" s="65" t="n">
        <f aca="false">((C10/9)*12)*1.2</f>
        <v>706365.872</v>
      </c>
      <c r="F10" s="65" t="n">
        <f aca="false">((F8*0.2)*1.2)*0.917</f>
        <v>177999.38352</v>
      </c>
      <c r="J10" s="117"/>
      <c r="K10" s="50"/>
      <c r="M10" s="50"/>
      <c r="N10" s="50"/>
      <c r="O10" s="50"/>
      <c r="P10" s="119"/>
      <c r="Q10" s="65" t="n">
        <f aca="false">+F10/$F$28*$Q$28</f>
        <v>35599.876704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'[23]Team Report'!BA27</f>
        <v>93416.53</v>
      </c>
      <c r="E11" s="65" t="n">
        <f aca="false">((C11/9)*12)*1.6</f>
        <v>199288.597333333</v>
      </c>
      <c r="F11" s="65" t="n">
        <f aca="false">(((E11/$E$24*$N$8)+20000)*1.2)*0.917</f>
        <v>54496.4700008296</v>
      </c>
      <c r="J11" s="117"/>
      <c r="K11" s="50"/>
      <c r="M11" s="50"/>
      <c r="N11" s="50"/>
      <c r="O11" s="50"/>
      <c r="P11" s="119" t="n">
        <f aca="false">SUM(P8:P9)</f>
        <v>959999.566617284</v>
      </c>
      <c r="Q11" s="65" t="n">
        <f aca="false">+F11/$F$28*$Q$28</f>
        <v>10899.2940001659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'[23]Team Report'!BA28</f>
        <v>59005.25</v>
      </c>
      <c r="E12" s="65" t="n">
        <f aca="false">((C12/9)*12)*1.4</f>
        <v>110143.133333333</v>
      </c>
      <c r="F12" s="65" t="n">
        <f aca="false">(((E12/$E$24*$N$8)+10000)*1.2)*0.917</f>
        <v>28959.7783585185</v>
      </c>
      <c r="J12" s="120"/>
      <c r="K12" s="121"/>
      <c r="L12" s="121"/>
      <c r="M12" s="121"/>
      <c r="N12" s="121"/>
      <c r="O12" s="121"/>
      <c r="P12" s="122"/>
      <c r="Q12" s="65" t="n">
        <f aca="false">+F12/$F$28*$Q$28</f>
        <v>5791.9556717037</v>
      </c>
    </row>
    <row r="13" customFormat="false" ht="12.75" hidden="false" customHeight="false" outlineLevel="0" collapsed="false">
      <c r="A13" s="63" t="s">
        <v>130</v>
      </c>
      <c r="B13" s="64" t="s">
        <v>131</v>
      </c>
      <c r="C13" s="65" t="n">
        <f aca="false">'[23]Team Report'!BA32-C38</f>
        <v>0.470000000030268</v>
      </c>
      <c r="E13" s="65" t="n">
        <f aca="false">((C13/9)*12)*1.2</f>
        <v>0.752000000048429</v>
      </c>
      <c r="F13" s="65" t="n">
        <f aca="false">((E13/$E$24*$N$8)*1.2)*0.917</f>
        <v>0.122592711119006</v>
      </c>
      <c r="I13" s="71" t="n">
        <f aca="false">P11-F22</f>
        <v>-172046.140008375</v>
      </c>
      <c r="Q13" s="65" t="n">
        <f aca="false">+F13/$F$28*$Q$28</f>
        <v>0.0245185422238012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'[23]Team Report'!BA33</f>
        <v>23102.66</v>
      </c>
      <c r="E14" s="65" t="n">
        <f aca="false">((C14/9)*12)*1.6</f>
        <v>49285.6746666667</v>
      </c>
      <c r="F14" s="65" t="n">
        <f aca="false">(((E14/$E$24*$N$8)+12000)*1.2)*0.917</f>
        <v>21239.4602078815</v>
      </c>
      <c r="Q14" s="65" t="n">
        <f aca="false">+F14/$F$28*$Q$28</f>
        <v>4247.8920415763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'[23]Team Report'!BA34</f>
        <v>0</v>
      </c>
      <c r="E15" s="65" t="n">
        <f aca="false">((C15/9)*12)*1.2</f>
        <v>0</v>
      </c>
      <c r="F15" s="65" t="n">
        <f aca="false">((E15/$E$24*$N$8)*1.2)*0.917</f>
        <v>0</v>
      </c>
      <c r="J15" s="27" t="s">
        <v>193</v>
      </c>
      <c r="K15" s="50" t="n">
   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'[23]Team Report'!BA35</f>
        <v>0</v>
      </c>
      <c r="E16" s="65" t="n">
        <f aca="false">((C16/9)*12)*1.2</f>
        <v>0</v>
      </c>
      <c r="F16" s="65" t="n">
        <f aca="false">((E16/$E$24*$N$8)*1.2)*0.917</f>
        <v>0</v>
      </c>
      <c r="J16" s="0" t="s">
        <v>255</v>
      </c>
      <c r="K16" s="50" t="n">
        <v>40000</v>
      </c>
      <c r="L16" s="50" t="n">
        <f aca="false">I16*K16</f>
        <v>0</v>
      </c>
      <c r="Q16" s="65" t="n">
        <f aca="false">+F16/$F$28*$Q$28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'[23]Team Report'!BA36</f>
        <v>0</v>
      </c>
      <c r="E17" s="65" t="n">
        <f aca="false">((C17/9)*12)*1.2</f>
        <v>0</v>
      </c>
      <c r="F17" s="65" t="n">
        <f aca="false">((E17/$E$24*$N$8)*1.2)*0.917</f>
        <v>0</v>
      </c>
      <c r="J17" s="0" t="s">
        <v>142</v>
      </c>
      <c r="K17" s="50" t="n">
        <v>41000</v>
      </c>
      <c r="L17" s="50" t="n">
        <f aca="false">I17*K17</f>
        <v>0</v>
      </c>
      <c r="Q17" s="65" t="n">
        <f aca="false">+F17/$F$28*$Q$28</f>
        <v>0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'[23]Team Report'!BA37</f>
        <v>13879.95</v>
      </c>
      <c r="E18" s="65" t="n">
        <f aca="false">((C18/9)*12)*1.6</f>
        <v>29610.56</v>
      </c>
      <c r="F18" s="65" t="n">
        <f aca="false">(((E18/$E$24*$N$8)+15000)*1.2)*0.917</f>
        <v>21333.1792924444</v>
      </c>
      <c r="J18" s="0" t="s">
        <v>256</v>
      </c>
      <c r="K18" s="50" t="n">
        <v>48000</v>
      </c>
      <c r="L18" s="50" t="n">
        <f aca="false">I18*K18</f>
        <v>0</v>
      </c>
      <c r="Q18" s="65" t="n">
        <f aca="false">+F18/$F$28*$Q$28</f>
        <v>4266.63585848889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'[23]Team Report'!BA38</f>
        <v>0</v>
      </c>
      <c r="E19" s="65" t="n">
        <f aca="false">((C19/9)*12)*1.2</f>
        <v>0</v>
      </c>
      <c r="F19" s="65" t="n">
        <f aca="false">((E19/$E$24*$N$8)*1.2)*0.917</f>
        <v>0</v>
      </c>
      <c r="J19" s="0" t="s">
        <v>145</v>
      </c>
      <c r="K19" s="50" t="n">
        <v>52000</v>
      </c>
      <c r="L19" s="50" t="n">
        <f aca="false">I19*K19</f>
        <v>0</v>
      </c>
      <c r="Q19" s="65" t="n">
        <f aca="false">+F19/$F$28*$Q$28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'[23]Team Report'!BA42</f>
        <v>23120.5</v>
      </c>
      <c r="E20" s="65" t="n">
        <f aca="false">((C20/9)*12)*1.4</f>
        <v>43158.2666666667</v>
      </c>
      <c r="F20" s="65" t="n">
        <f aca="false">(((E20/$E$24*$N$8)+10956)*1.2)*0.917</f>
        <v>19091.7389392593</v>
      </c>
      <c r="J20" s="0" t="s">
        <v>297</v>
      </c>
      <c r="K20" s="50" t="n">
        <v>62000</v>
      </c>
      <c r="L20" s="50" t="n">
        <f aca="false">I20*K20</f>
        <v>0</v>
      </c>
      <c r="Q20" s="65" t="n">
        <f aca="false">+F20/$F$28*$Q$28</f>
        <v>3818.34778785185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'[23]Team Report'!BA44</f>
        <v>432.37</v>
      </c>
      <c r="E21" s="65" t="n">
        <f aca="false">((C21/9)*12)*1.4</f>
        <v>807.090666666667</v>
      </c>
      <c r="F21" s="65" t="n">
        <f aca="false">((E21/$E$24*$N$8)*1.2)*0.917</f>
        <v>131.573714014815</v>
      </c>
      <c r="J21" s="0" t="s">
        <v>258</v>
      </c>
      <c r="K21" s="50" t="n">
        <v>75000</v>
      </c>
      <c r="L21" s="50" t="n">
        <f aca="false">I21*K21</f>
        <v>0</v>
      </c>
      <c r="Q21" s="65" t="n">
        <f aca="false">+F21/$F$28*$Q$28</f>
        <v>26.314742802963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2626035.42</v>
      </c>
      <c r="E22" s="74" t="n">
        <f aca="false">SUM(E8:E21)</f>
        <v>4293218.37866667</v>
      </c>
      <c r="F22" s="74" t="n">
        <f aca="false">SUM(F8:F21)</f>
        <v>1132045.70662566</v>
      </c>
      <c r="I22" s="0" t="n">
        <v>1</v>
      </c>
      <c r="J22" s="0" t="s">
        <v>259</v>
      </c>
      <c r="K22" s="50" t="n">
        <f aca="false">125000*1.2</f>
        <v>150000</v>
      </c>
      <c r="L22" s="50" t="n">
        <f aca="false">I22*K22</f>
        <v>150000</v>
      </c>
      <c r="Q22" s="74" t="n">
        <f aca="false">SUM(Q8:Q21)</f>
        <v>226409.141325132</v>
      </c>
    </row>
    <row r="23" customFormat="false" ht="12.75" hidden="false" customHeight="false" outlineLevel="0" collapsed="false">
      <c r="I23" s="0" t="n">
        <v>3</v>
      </c>
      <c r="J23" s="0" t="s">
        <v>260</v>
      </c>
      <c r="K23" s="50" t="n">
        <f aca="false">150000*1.2</f>
        <v>180000</v>
      </c>
      <c r="L23" s="50" t="n">
        <f aca="false">I23*K23</f>
        <v>540000</v>
      </c>
    </row>
    <row r="24" customFormat="false" ht="12.75" hidden="false" customHeight="false" outlineLevel="0" collapsed="false">
      <c r="B24" s="73" t="s">
        <v>7</v>
      </c>
      <c r="C24" s="65"/>
      <c r="E24" s="77" t="n">
        <v>27</v>
      </c>
      <c r="F24" s="77" t="n">
        <v>5</v>
      </c>
      <c r="J24" s="0" t="s">
        <v>261</v>
      </c>
      <c r="K24" s="50" t="n">
        <v>180000</v>
      </c>
      <c r="L24" s="50" t="n">
        <f aca="false">I24*K24</f>
        <v>0</v>
      </c>
      <c r="Q24" s="77" t="n">
        <v>1</v>
      </c>
    </row>
    <row r="25" customFormat="false" ht="12.75" hidden="false" customHeight="false" outlineLevel="0" collapsed="false">
      <c r="C25" s="65"/>
      <c r="E25" s="65"/>
      <c r="F25" s="65"/>
      <c r="J25" s="0" t="s">
        <v>262</v>
      </c>
      <c r="K25" s="50" t="n">
        <v>260000</v>
      </c>
      <c r="L25" s="50" t="n">
        <f aca="false">I25*K25</f>
        <v>0</v>
      </c>
      <c r="Q25" s="65"/>
    </row>
    <row r="26" customFormat="false" ht="12.75" hidden="false" customHeight="false" outlineLevel="0" collapsed="false">
      <c r="B26" s="73" t="s">
        <v>289</v>
      </c>
      <c r="C26" s="65"/>
      <c r="E26" s="77" t="n">
        <v>0</v>
      </c>
      <c r="F26" s="77"/>
      <c r="K26" s="50"/>
      <c r="L26" s="50" t="n">
        <f aca="false">SUM(L15:L25)</f>
        <v>690000</v>
      </c>
      <c r="Q26" s="77"/>
    </row>
    <row r="27" customFormat="false" ht="12.75" hidden="false" customHeight="false" outlineLevel="0" collapsed="false">
      <c r="K27" s="50"/>
    </row>
    <row r="28" customFormat="false" ht="12.75" hidden="false" customHeight="false" outlineLevel="0" collapsed="false">
      <c r="B28" s="73" t="s">
        <v>163</v>
      </c>
      <c r="C28" s="65"/>
      <c r="E28" s="77" t="n">
        <f aca="false">+E26+E24</f>
        <v>27</v>
      </c>
      <c r="F28" s="77" t="n">
        <f aca="false">SUM(F24:F26)</f>
        <v>5</v>
      </c>
      <c r="G28" s="65"/>
      <c r="H28" s="50"/>
      <c r="J28" s="0" t="s">
        <v>249</v>
      </c>
      <c r="K28" s="50"/>
      <c r="L28" s="78" t="n">
        <v>0.2</v>
      </c>
      <c r="Q28" s="77" t="n">
        <f aca="false">SUM(Q24:Q26)</f>
        <v>1</v>
      </c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'[23]Team Report'!BA29</f>
        <v>0</v>
      </c>
      <c r="E30" s="65" t="n">
        <f aca="false">(C30/9)*12</f>
        <v>0</v>
      </c>
      <c r="F30" s="65"/>
      <c r="L30" s="50" t="n">
        <f aca="false">L26*1.2</f>
        <v>828000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'[23]Team Report'!BA30</f>
        <v>-3920.75</v>
      </c>
      <c r="E31" s="65" t="n">
        <f aca="false">(C31/9)*12</f>
        <v>-5227.66666666667</v>
      </c>
      <c r="F31" s="65"/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'[23]Team Report'!BA31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'[23]Team Report'!BA39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'[23]Team Report'!BA40</f>
        <v>37953.1</v>
      </c>
      <c r="E34" s="65" t="n">
        <f aca="false">(C34/9)*12</f>
        <v>50604.1333333333</v>
      </c>
      <c r="F34" s="65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'[23]Team Report'!BA41</f>
        <v>218397.73</v>
      </c>
      <c r="E35" s="65" t="n">
        <f aca="false">(C35/9)*12</f>
        <v>291196.973333333</v>
      </c>
      <c r="F35" s="65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'[23]Team Report'!BA43</f>
        <v>-1506130.81</v>
      </c>
      <c r="E36" s="65" t="n">
        <f aca="false">(C36/9)*12</f>
        <v>-2008174.41333333</v>
      </c>
      <c r="F36" s="65"/>
      <c r="I36" s="17" t="s">
        <v>164</v>
      </c>
      <c r="J36" s="50"/>
      <c r="K36" s="5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'[23]Team Report'!BA45</f>
        <v>0</v>
      </c>
      <c r="E37" s="65" t="n">
        <f aca="false">(C37/9)*12</f>
        <v>0</v>
      </c>
      <c r="F37" s="65"/>
      <c r="J37" s="50"/>
      <c r="K37" s="50"/>
    </row>
    <row r="38" customFormat="false" ht="12.75" hidden="true" customHeight="false" outlineLevel="0" collapsed="false">
      <c r="A38" s="63"/>
      <c r="B38" s="64" t="s">
        <v>131</v>
      </c>
      <c r="C38" s="65" t="n">
        <v>195340</v>
      </c>
      <c r="E38" s="65"/>
      <c r="F38" s="65"/>
      <c r="I38" s="79" t="s">
        <v>165</v>
      </c>
      <c r="J38" s="80" t="s">
        <v>166</v>
      </c>
      <c r="K38" s="80" t="s">
        <v>167</v>
      </c>
      <c r="L38" s="80" t="s">
        <v>110</v>
      </c>
      <c r="N38" s="80" t="s">
        <v>168</v>
      </c>
    </row>
    <row r="39" customFormat="false" ht="12.75" hidden="false" customHeight="false" outlineLevel="0" collapsed="false">
      <c r="I39" s="81" t="n">
        <f aca="false">SUM(E11:E21)</f>
        <v>432294.074666667</v>
      </c>
      <c r="J39" s="111" t="n">
        <f aca="false">+E28</f>
        <v>27</v>
      </c>
      <c r="K39" s="80" t="n">
        <f aca="false">+I39/J39</f>
        <v>16010.891654321</v>
      </c>
      <c r="L39" s="80" t="n">
        <f aca="false">+N9</f>
        <v>4</v>
      </c>
      <c r="M39" s="80" t="n">
        <f aca="false">+K39*L39</f>
        <v>64043.566617284</v>
      </c>
      <c r="N39" s="50" t="n">
        <f aca="false">+L39*K39</f>
        <v>64043.566617284</v>
      </c>
    </row>
    <row r="40" customFormat="false" ht="12.75" hidden="false" customHeight="false" outlineLevel="0" collapsed="false">
      <c r="C40" s="103" t="n">
        <f aca="false">C22+C30+C31+C32+C33+C34+C35+C36+C37+C38</f>
        <v>1567674.69</v>
      </c>
    </row>
    <row r="41" customFormat="false" ht="12.75" hidden="false" customHeight="false" outlineLevel="0" collapsed="false">
      <c r="I41" s="0" t="s">
        <v>308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50" width="11.85"/>
    <col collapsed="false" customWidth="true" hidden="true" outlineLevel="0" max="11" min="11" style="50" width="10.85"/>
    <col collapsed="false" customWidth="true" hidden="true" outlineLevel="0" max="12" min="12" style="50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51" t="str">
        <f aca="false">'[24]Team Report'!B1</f>
        <v>Enron North America</v>
      </c>
      <c r="C1" s="51"/>
      <c r="D1" s="51"/>
      <c r="E1" s="51"/>
      <c r="F1" s="51"/>
      <c r="G1" s="51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309</v>
      </c>
      <c r="C2" s="51"/>
      <c r="D2" s="51"/>
      <c r="E2" s="51"/>
      <c r="F2" s="51"/>
      <c r="G2" s="51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114</v>
      </c>
      <c r="I6" s="88"/>
      <c r="J6" s="80" t="s">
        <v>109</v>
      </c>
      <c r="K6" s="80" t="s">
        <v>110</v>
      </c>
      <c r="L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I7" s="88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'[24]Team Report'!BA25</f>
        <v>3696902.52</v>
      </c>
      <c r="E8" s="65" t="n">
        <f aca="false">(C8/9)*12</f>
        <v>4929203.36</v>
      </c>
      <c r="G8" s="65" t="n">
        <f aca="false">((L28-G9+212800)*1.2)*0.917</f>
        <v>1562568</v>
      </c>
      <c r="I8" s="88"/>
      <c r="L8" s="60"/>
      <c r="O8" s="65" t="n">
        <f aca="false">+G8/$G$28*$O$28</f>
        <v>111612</v>
      </c>
    </row>
    <row r="9" customFormat="false" ht="12.75" hidden="false" customHeight="false" outlineLevel="0" collapsed="false">
      <c r="A9" s="63"/>
      <c r="B9" s="64" t="s">
        <v>254</v>
      </c>
      <c r="C9" s="65" t="n">
        <v>0</v>
      </c>
      <c r="E9" s="65" t="n">
        <f aca="false">(C9/9)*12</f>
        <v>0</v>
      </c>
      <c r="G9" s="65" t="n">
        <v>0</v>
      </c>
      <c r="I9" s="88"/>
      <c r="L9" s="60"/>
      <c r="O9" s="65" t="n">
        <f aca="false">+G9/$G$28*$O$28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'[24]Team Report'!BA26</f>
        <v>823813.24</v>
      </c>
      <c r="E10" s="65" t="n">
        <f aca="false">(C10/9)*12</f>
        <v>1098417.65333333</v>
      </c>
      <c r="G10" s="65" t="n">
        <f aca="false">((L32-L28+141960)*1.2)*0.917</f>
        <v>421893.36</v>
      </c>
      <c r="I10" s="88"/>
      <c r="L10" s="60"/>
      <c r="O10" s="65" t="n">
        <f aca="false">+G10/$G$28*$O$28</f>
        <v>30135.24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'[24]Team Report'!BA27</f>
        <v>-177210.59</v>
      </c>
      <c r="E11" s="67" t="n">
        <f aca="false">((C11/9)*12+350000)*1.4</f>
        <v>159206.898666667</v>
      </c>
      <c r="G11" s="65" t="n">
        <f aca="false">(((E11/$E$28)*$G$28+13466)*1.2)*0.917</f>
        <v>44016.5316154667</v>
      </c>
      <c r="I11" s="88" t="s">
        <v>83</v>
      </c>
      <c r="J11" s="50" t="n">
        <f aca="false">(E11+E12+E13+E14+E15+E16+E17+E18+E19+E20+E21)/E28</f>
        <v>13598.3738730159</v>
      </c>
      <c r="K11" s="50" t="n">
        <v>19</v>
      </c>
      <c r="L11" s="60" t="n">
        <f aca="false">J11*K11</f>
        <v>258369.103587302</v>
      </c>
      <c r="O11" s="65" t="n">
        <f aca="false">+G11/$G$28*$O$28</f>
        <v>3144.03797253333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'[24]Team Report'!BA28</f>
        <v>238343.32</v>
      </c>
      <c r="E12" s="67" t="n">
        <f aca="false">((C12/9)*12)*1.4</f>
        <v>444907.530666667</v>
      </c>
      <c r="G12" s="65" t="n">
        <f aca="false">(((E12/$E$28)*$G$28-19151)*1.2)*0.917</f>
        <v>60522.2807242667</v>
      </c>
      <c r="I12" s="88"/>
      <c r="L12" s="60"/>
      <c r="O12" s="65" t="n">
        <f aca="false">+G12/$G$28*$O$28</f>
        <v>4323.02005173333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7" t="n">
        <f aca="false">(C13/9)*12</f>
        <v>0</v>
      </c>
      <c r="G13" s="65" t="n">
        <f aca="false">(((E13/$E$28)*$G$28+80000)*1.2)*0.917</f>
        <v>88032</v>
      </c>
      <c r="I13" s="93" t="s">
        <v>129</v>
      </c>
      <c r="J13" s="69"/>
      <c r="K13" s="69"/>
      <c r="L13" s="70" t="n">
        <f aca="false">SUM(L9:L11)</f>
        <v>258369.103587302</v>
      </c>
      <c r="N13" s="0" t="n">
        <v>2206762</v>
      </c>
      <c r="O13" s="65" t="n">
        <f aca="false">+G13/$G$28*$O$28</f>
        <v>6288</v>
      </c>
      <c r="P13" s="71" t="n">
        <f aca="false">N13-L13</f>
        <v>1948392.8964127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'[24]Team Report'!BA33</f>
        <v>93641.7</v>
      </c>
      <c r="E14" s="67" t="n">
        <f aca="false">((C14/9)*12)*1.4</f>
        <v>174797.84</v>
      </c>
      <c r="G14" s="65" t="n">
        <f aca="false">(((E14/$E$28)*$G$28)*1.2)*0.917</f>
        <v>32057.923856</v>
      </c>
      <c r="I14" s="27"/>
      <c r="O14" s="65" t="n">
        <f aca="false">+G14/$G$28*$O$28</f>
        <v>2289.851704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'[24]Team Report'!BA34</f>
        <v>0</v>
      </c>
      <c r="E15" s="67" t="n">
        <f aca="false">(C15/9)*12</f>
        <v>0</v>
      </c>
      <c r="G15" s="65" t="n">
        <f aca="false">(((E15/$E$28)*$G$28)*1.2)*0.917</f>
        <v>0</v>
      </c>
      <c r="I15" s="27"/>
      <c r="O15" s="65" t="n">
        <f aca="false">+G15/$G$28*$O$28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'[24]Team Report'!BA35</f>
        <v>0</v>
      </c>
      <c r="E16" s="67" t="n">
        <f aca="false">(C16/9)*12</f>
        <v>0</v>
      </c>
      <c r="G16" s="65" t="n">
        <f aca="false">(((E16/$E$28)*$G$28)*1.2)*0.917</f>
        <v>0</v>
      </c>
      <c r="I16" s="27" t="s">
        <v>193</v>
      </c>
      <c r="J16" s="50" t="n">
        <v>30000</v>
      </c>
      <c r="K16" s="50" t="n">
        <f aca="false">H16*J16</f>
        <v>0</v>
      </c>
      <c r="L16" s="50" t="n">
        <f aca="false">J16*K16</f>
        <v>0</v>
      </c>
      <c r="O16" s="65" t="n">
        <f aca="false">+G16/$G$28*$O$28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'[24]Team Report'!BA36</f>
        <v>3626.4</v>
      </c>
      <c r="E17" s="67" t="n">
        <f aca="false">((C17/9)*12)*1.4</f>
        <v>6769.28</v>
      </c>
      <c r="G17" s="65" t="n">
        <f aca="false">(((E17/$E$28)*$G$28)*1.2)*0.917</f>
        <v>1241.485952</v>
      </c>
      <c r="I17" s="0" t="s">
        <v>255</v>
      </c>
      <c r="J17" s="50" t="n">
        <f aca="false">40000*1.2</f>
        <v>48000</v>
      </c>
      <c r="K17" s="50" t="n">
        <v>1</v>
      </c>
      <c r="L17" s="50" t="n">
        <f aca="false">J17*K17</f>
        <v>48000</v>
      </c>
      <c r="O17" s="65" t="n">
        <f aca="false">+G17/$G$28*$O$28</f>
        <v>88.677568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'[24]Team Report'!BA37</f>
        <v>121524.64</v>
      </c>
      <c r="E18" s="67" t="n">
        <f aca="false">((C18/9)*12)*1.6+21500</f>
        <v>280752.565333333</v>
      </c>
      <c r="G18" s="65" t="n">
        <f aca="false">(((E18/$E$28)*$G$28)*1.2)*0.917</f>
        <v>51490.0204821334</v>
      </c>
      <c r="I18" s="0" t="s">
        <v>142</v>
      </c>
      <c r="J18" s="50" t="n">
        <v>41000</v>
      </c>
      <c r="K18" s="50" t="n">
        <f aca="false">H18*J18</f>
        <v>0</v>
      </c>
      <c r="L18" s="50" t="n">
        <f aca="false">J18*K18</f>
        <v>0</v>
      </c>
      <c r="O18" s="65" t="n">
        <f aca="false">+G18/$G$28*$O$28</f>
        <v>3677.85860586667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'[24]Team Report'!BA38</f>
        <v>1258.2</v>
      </c>
      <c r="E19" s="67" t="n">
        <f aca="false">((C19/9)*12)*1.2</f>
        <v>2013.12</v>
      </c>
      <c r="G19" s="65" t="n">
        <f aca="false">(((E19/$E$28)*$G$28-336)*1.2)*0.917</f>
        <v>-0.528191999999958</v>
      </c>
      <c r="I19" s="0" t="s">
        <v>256</v>
      </c>
      <c r="J19" s="50" t="n">
        <f aca="false">48000*1.2</f>
        <v>57600</v>
      </c>
      <c r="K19" s="50" t="n">
        <v>1</v>
      </c>
      <c r="L19" s="50" t="n">
        <f aca="false">J19*K19</f>
        <v>57600</v>
      </c>
      <c r="O19" s="65" t="n">
        <f aca="false">+G19/$G$28*$O$28</f>
        <v>-0.037727999999997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'[24]Team Report'!BA42</f>
        <v>33298.46</v>
      </c>
      <c r="E20" s="67" t="n">
        <f aca="false">((C20/9)*12)*1.6</f>
        <v>71036.7146666667</v>
      </c>
      <c r="G20" s="65" t="n">
        <f aca="false">(((E20/$E$28)*$G$28+7698)*1.2)*0.917</f>
        <v>21499.0126698667</v>
      </c>
      <c r="I20" s="0" t="s">
        <v>154</v>
      </c>
      <c r="J20" s="50" t="n">
        <f aca="false">60000*1.2</f>
        <v>72000</v>
      </c>
      <c r="K20" s="50" t="n">
        <v>2</v>
      </c>
      <c r="L20" s="50" t="n">
        <f aca="false">J20*K20</f>
        <v>144000</v>
      </c>
      <c r="O20" s="65" t="n">
        <f aca="false">+G20/$G$28*$O$28</f>
        <v>1535.64376213333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'[24]Team Report'!BA44</f>
        <v>1737.16</v>
      </c>
      <c r="E21" s="67" t="n">
        <f aca="false">((C21/9)*12)*1.2</f>
        <v>2779.456</v>
      </c>
      <c r="G21" s="65" t="n">
        <f aca="false">(((E21/$E$28)*$G$28)*1.2)*0.917</f>
        <v>509.7522304</v>
      </c>
      <c r="I21" s="0" t="s">
        <v>145</v>
      </c>
      <c r="J21" s="50" t="n">
        <f aca="false">52000*1.2</f>
        <v>62400</v>
      </c>
      <c r="K21" s="50" t="n">
        <v>3</v>
      </c>
      <c r="L21" s="50" t="n">
        <f aca="false">J21*K21</f>
        <v>187200</v>
      </c>
      <c r="O21" s="65" t="n">
        <f aca="false">+G21/$G$28*$O$28</f>
        <v>36.4108736</v>
      </c>
    </row>
    <row r="22" customFormat="false" ht="12.75" hidden="false" customHeight="false" outlineLevel="0" collapsed="false">
      <c r="A22" s="72" t="s">
        <v>155</v>
      </c>
      <c r="B22" s="73" t="s">
        <v>156</v>
      </c>
      <c r="C22" s="74" t="n">
        <f aca="false">SUM(C8:C21)</f>
        <v>4836935.05</v>
      </c>
      <c r="E22" s="74" t="n">
        <f aca="false">SUM(E8:E21)</f>
        <v>7169884.41866667</v>
      </c>
      <c r="G22" s="74" t="n">
        <f aca="false">SUM(G8:G21)</f>
        <v>2283829.83933813</v>
      </c>
      <c r="I22" s="0" t="s">
        <v>297</v>
      </c>
      <c r="J22" s="50" t="n">
        <f aca="false">62000*1.2</f>
        <v>74400</v>
      </c>
      <c r="K22" s="50" t="n">
        <v>1</v>
      </c>
      <c r="L22" s="50" t="n">
        <f aca="false">J22*K22</f>
        <v>74400</v>
      </c>
      <c r="O22" s="74" t="n">
        <f aca="false">SUM(O8:O21)</f>
        <v>163130.702809867</v>
      </c>
    </row>
    <row r="23" customFormat="false" ht="12.75" hidden="false" customHeight="false" outlineLevel="0" collapsed="false">
      <c r="I23" s="0" t="s">
        <v>258</v>
      </c>
      <c r="J23" s="50" t="n">
        <f aca="false">75000*1.2</f>
        <v>90000</v>
      </c>
      <c r="K23" s="50" t="n">
        <v>4</v>
      </c>
      <c r="L23" s="50" t="n">
        <f aca="false">J23*K23</f>
        <v>360000</v>
      </c>
    </row>
    <row r="24" customFormat="false" ht="12.75" hidden="false" customHeight="false" outlineLevel="0" collapsed="false">
      <c r="B24" s="73" t="s">
        <v>7</v>
      </c>
      <c r="C24" s="109"/>
      <c r="E24" s="109" t="n">
        <v>84</v>
      </c>
      <c r="G24" s="110" t="n">
        <f aca="false">SUM(K16:K18,K21:K27)</f>
        <v>11</v>
      </c>
      <c r="I24" s="0" t="s">
        <v>259</v>
      </c>
      <c r="J24" s="50" t="n">
        <f aca="false">100000*1.2</f>
        <v>120000</v>
      </c>
      <c r="K24" s="50" t="n">
        <v>1</v>
      </c>
      <c r="L24" s="50" t="n">
        <f aca="false">J24*K24</f>
        <v>120000</v>
      </c>
      <c r="O24" s="77" t="n">
        <f aca="false">SUM(U15:U19,U22:U26)</f>
        <v>0</v>
      </c>
    </row>
    <row r="25" customFormat="false" ht="12.75" hidden="false" customHeight="false" outlineLevel="0" collapsed="false">
      <c r="I25" s="0" t="s">
        <v>310</v>
      </c>
      <c r="J25" s="50" t="n">
        <f aca="false">149000*1.2</f>
        <v>178800</v>
      </c>
      <c r="K25" s="50" t="n">
        <f aca="false">H24*J25</f>
        <v>0</v>
      </c>
      <c r="L25" s="50" t="n">
        <f aca="false">J25*K25</f>
        <v>0</v>
      </c>
      <c r="O25" s="65"/>
    </row>
    <row r="26" customFormat="false" ht="12.75" hidden="false" customHeight="false" outlineLevel="0" collapsed="false">
      <c r="B26" s="73" t="s">
        <v>161</v>
      </c>
      <c r="C26" s="109"/>
      <c r="E26" s="109"/>
      <c r="G26" s="110" t="n">
        <f aca="false">SUM(K19:K20)</f>
        <v>3</v>
      </c>
      <c r="I26" s="0" t="s">
        <v>261</v>
      </c>
      <c r="J26" s="50" t="n">
        <f aca="false">180000*1.2</f>
        <v>216000</v>
      </c>
      <c r="K26" s="50" t="n">
        <v>1</v>
      </c>
      <c r="L26" s="50" t="n">
        <f aca="false">J26*K26</f>
        <v>216000</v>
      </c>
      <c r="O26" s="77" t="n">
        <f aca="false">+U20+U21</f>
        <v>0</v>
      </c>
    </row>
    <row r="27" customFormat="false" ht="12.75" hidden="false" customHeight="false" outlineLevel="0" collapsed="false">
      <c r="I27" s="0" t="s">
        <v>262</v>
      </c>
      <c r="J27" s="50" t="n">
        <f aca="false">260000*1.2</f>
        <v>312000</v>
      </c>
      <c r="K27" s="50" t="n">
        <f aca="false">H26*J27</f>
        <v>0</v>
      </c>
      <c r="L27" s="50" t="n">
        <f aca="false">J27*K27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84</v>
      </c>
      <c r="G28" s="109" t="n">
        <f aca="false">SUM(G24:G27)</f>
        <v>14</v>
      </c>
      <c r="K28" s="50" t="n">
        <f aca="false">SUM(K16:K27)</f>
        <v>14</v>
      </c>
      <c r="L28" s="50" t="n">
        <f aca="false">SUM(L16:L27)</f>
        <v>1207200</v>
      </c>
      <c r="O28" s="77" t="n">
        <v>1</v>
      </c>
    </row>
    <row r="29" customFormat="false" ht="12.75" hidden="fals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'[24]Team Report'!BA29</f>
        <v>0</v>
      </c>
      <c r="E30" s="65" t="n">
        <f aca="false">(C30/9)*12</f>
        <v>0</v>
      </c>
      <c r="I30" s="0" t="s">
        <v>249</v>
      </c>
      <c r="K30" s="78"/>
      <c r="L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'[24]Team Report'!BA30</f>
        <v>0</v>
      </c>
      <c r="E31" s="65" t="n">
        <f aca="false">(C31/9)*12</f>
        <v>0</v>
      </c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'[24]Team Report'!BA31</f>
        <v>0</v>
      </c>
      <c r="E32" s="65" t="n">
        <f aca="false">(C32/9)*12</f>
        <v>0</v>
      </c>
      <c r="L32" s="50" t="n">
        <f aca="false">L28*1.2</f>
        <v>1448640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'[24]Team Report'!BA39</f>
        <v>0</v>
      </c>
      <c r="E33" s="65" t="n">
        <f aca="false">(C33/9)*12</f>
        <v>0</v>
      </c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'[24]Team Report'!BA40</f>
        <v>77797.27</v>
      </c>
      <c r="E34" s="65" t="n">
        <f aca="false">(C34/9)*12</f>
        <v>103729.693333333</v>
      </c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'[24]Team Report'!BA41</f>
        <v>677124.54</v>
      </c>
      <c r="E35" s="65" t="n">
        <f aca="false">(C35/9)*12</f>
        <v>902832.72</v>
      </c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'[24]Team Report'!BA43</f>
        <v>-1637349.75</v>
      </c>
      <c r="E36" s="65" t="n">
        <f aca="false">(C36/9)*12</f>
        <v>-2183133</v>
      </c>
      <c r="H36" s="17" t="s">
        <v>164</v>
      </c>
      <c r="I36" s="50"/>
      <c r="L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'[24]Team Report'!BA45</f>
        <v>15745.09</v>
      </c>
      <c r="E37" s="65" t="n">
        <f aca="false">(C37/9)*12</f>
        <v>20993.4533333333</v>
      </c>
      <c r="I37" s="50"/>
      <c r="L37" s="0"/>
    </row>
    <row r="38" customFormat="false" ht="12.75" hidden="true" customHeight="false" outlineLevel="0" collapsed="false">
      <c r="A38" s="123" t="s">
        <v>130</v>
      </c>
      <c r="B38" s="64" t="s">
        <v>131</v>
      </c>
      <c r="C38" s="65" t="n">
        <v>180700.52</v>
      </c>
      <c r="E38" s="65" t="n">
        <v>240934.026666667</v>
      </c>
      <c r="H38" s="79" t="s">
        <v>165</v>
      </c>
      <c r="I38" s="80" t="s">
        <v>166</v>
      </c>
      <c r="J38" s="80" t="s">
        <v>167</v>
      </c>
      <c r="K38" s="80" t="s">
        <v>110</v>
      </c>
      <c r="L38" s="80" t="s">
        <v>168</v>
      </c>
    </row>
    <row r="39" customFormat="false" ht="12.75" hidden="true" customHeight="false" outlineLevel="0" collapsed="false">
      <c r="H39" s="81" t="n">
        <f aca="false">SUM(E11:E21)</f>
        <v>1142263.40533333</v>
      </c>
      <c r="I39" s="111" t="n">
        <f aca="false">+E28</f>
        <v>84</v>
      </c>
      <c r="J39" s="80" t="n">
        <f aca="false">+H39/I39</f>
        <v>13598.3738730159</v>
      </c>
      <c r="K39" s="111" t="n">
        <f aca="false">+K11</f>
        <v>19</v>
      </c>
      <c r="L39" s="80" t="n">
        <f aca="false">+J39*K39</f>
        <v>258369.103587302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>
      <c r="C43" s="103" t="n">
        <f aca="false">C22+C30+C31+C32+C33+C34+C35+C36+C37</f>
        <v>3970252.2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51" t="str">
        <f aca="false">'[25]Team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78</v>
      </c>
      <c r="C2" s="51"/>
      <c r="D2" s="51"/>
      <c r="E2" s="51"/>
      <c r="F2" s="51"/>
      <c r="G2" s="53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 t="s">
        <v>78</v>
      </c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 t="s">
        <v>114</v>
      </c>
      <c r="J6" s="88"/>
      <c r="K6" s="80" t="s">
        <v>109</v>
      </c>
      <c r="L6" s="80" t="s">
        <v>110</v>
      </c>
      <c r="M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'[25]Team Report'!BA25</f>
        <v>10228335.79</v>
      </c>
      <c r="E8" s="65" t="n">
        <f aca="false">(C8/9)*12</f>
        <v>13637781.0533333</v>
      </c>
      <c r="F8" s="65" t="n">
        <f aca="false">((M20+M24+M25+M26+M27+360800)*1.2)*0.917</f>
        <v>3554292</v>
      </c>
      <c r="J8" s="88"/>
      <c r="M8" s="60"/>
      <c r="O8" s="65" t="n">
        <f aca="false">+F8/$F$28*$O$28</f>
        <v>161558.727272727</v>
      </c>
    </row>
    <row r="9" customFormat="false" ht="12.75" hidden="false" customHeight="false" outlineLevel="0" collapsed="false">
      <c r="A9" s="63"/>
      <c r="B9" s="64" t="s">
        <v>234</v>
      </c>
      <c r="C9" s="65" t="n">
        <v>0</v>
      </c>
      <c r="E9" s="65" t="n">
        <f aca="false">(C9/9)*12</f>
        <v>0</v>
      </c>
      <c r="F9" s="65" t="n">
        <v>0</v>
      </c>
      <c r="J9" s="88"/>
      <c r="M9" s="60"/>
      <c r="O9" s="65" t="n">
        <f aca="false">+F9/$F$28*$O$28</f>
        <v>0</v>
      </c>
    </row>
    <row r="10" customFormat="false" ht="12.75" hidden="false" customHeight="false" outlineLevel="0" collapsed="false">
      <c r="A10" s="63" t="s">
        <v>123</v>
      </c>
      <c r="B10" s="64" t="s">
        <v>124</v>
      </c>
      <c r="C10" s="65" t="n">
        <f aca="false">'[25]Team Report'!BA26</f>
        <v>1877442.13</v>
      </c>
      <c r="E10" s="65" t="n">
        <f aca="false">(C10/9)*12</f>
        <v>2503256.17333333</v>
      </c>
      <c r="F10" s="65" t="n">
        <f aca="false">((F8*0.2)*1.2)*0.917</f>
        <v>782228.58336</v>
      </c>
      <c r="J10" s="88"/>
      <c r="M10" s="60"/>
      <c r="O10" s="65" t="n">
        <f aca="false">+F10/$F$28*$O$28</f>
        <v>35555.8446981818</v>
      </c>
    </row>
    <row r="11" customFormat="false" ht="12.75" hidden="false" customHeight="false" outlineLevel="0" collapsed="false">
      <c r="A11" s="63" t="s">
        <v>125</v>
      </c>
      <c r="B11" s="64" t="s">
        <v>126</v>
      </c>
      <c r="C11" s="65" t="n">
        <f aca="false">'[25]Team Report'!BA27</f>
        <v>405632.98</v>
      </c>
      <c r="E11" s="65" t="n">
        <f aca="false">((C11/9)*12)*2.6</f>
        <v>1406194.33066667</v>
      </c>
      <c r="F11" s="65" t="n">
        <f aca="false">((E11/$E$28*$L$11+179963)*1.2)*0.917</f>
        <v>490778.141693492</v>
      </c>
      <c r="J11" s="88" t="s">
        <v>83</v>
      </c>
      <c r="K11" s="50" t="n">
        <f aca="false">(E11+E12+E14+E15+E16+E17+E18+E19+E20+E21)/E28</f>
        <v>50608.3852504505</v>
      </c>
      <c r="L11" s="50" t="n">
        <f aca="false">L28</f>
        <v>21</v>
      </c>
      <c r="M11" s="60" t="n">
        <f aca="false">K11*L11+5000000</f>
        <v>6062776.09025946</v>
      </c>
      <c r="O11" s="65" t="n">
        <f aca="false">+F11/$F$28*$O$28</f>
        <v>22308.0973497042</v>
      </c>
    </row>
    <row r="12" customFormat="false" ht="12.75" hidden="false" customHeight="false" outlineLevel="0" collapsed="false">
      <c r="A12" s="63" t="s">
        <v>127</v>
      </c>
      <c r="B12" s="64" t="s">
        <v>128</v>
      </c>
      <c r="C12" s="65" t="n">
        <f aca="false">'[25]Team Report'!BA28</f>
        <v>648740.17</v>
      </c>
      <c r="E12" s="65" t="n">
        <f aca="false">((C12/9)*12)*2.13</f>
        <v>1842422.0828</v>
      </c>
      <c r="F12" s="65" t="n">
        <f aca="false">((E12/$E$28*$L$11+68434)*1.2)*0.917</f>
        <v>458867.174124104</v>
      </c>
      <c r="J12" s="88"/>
      <c r="M12" s="60"/>
      <c r="O12" s="65" t="n">
        <f aca="false">+F12/$F$28*$O$28</f>
        <v>20857.5988238229</v>
      </c>
    </row>
    <row r="13" customFormat="false" ht="13.5" hidden="false" customHeight="false" outlineLevel="0" collapsed="false">
      <c r="A13" s="63" t="s">
        <v>130</v>
      </c>
      <c r="B13" s="64" t="s">
        <v>131</v>
      </c>
      <c r="C13" s="65" t="n">
        <v>0</v>
      </c>
      <c r="E13" s="65" t="n">
        <v>0</v>
      </c>
      <c r="F13" s="65" t="n">
        <v>3851400</v>
      </c>
      <c r="J13" s="93" t="s">
        <v>129</v>
      </c>
      <c r="K13" s="69"/>
      <c r="L13" s="69"/>
      <c r="M13" s="70" t="n">
        <f aca="false">SUM(M9:M11)</f>
        <v>6062776.09025946</v>
      </c>
      <c r="O13" s="65" t="n">
        <f aca="false">+F13/$F$28*$O$28</f>
        <v>175063.636363636</v>
      </c>
    </row>
    <row r="14" customFormat="false" ht="12.75" hidden="false" customHeight="false" outlineLevel="0" collapsed="false">
      <c r="A14" s="63" t="s">
        <v>132</v>
      </c>
      <c r="B14" s="64" t="s">
        <v>133</v>
      </c>
      <c r="C14" s="65" t="n">
        <f aca="false">'[25]Team Report'!BA33</f>
        <v>76876.32</v>
      </c>
      <c r="E14" s="65" t="n">
        <f aca="false">((C14/9)*12)*2.1</f>
        <v>215253.696</v>
      </c>
      <c r="F14" s="65" t="n">
        <f aca="false">((E14/$E$28*$L$11+4276)*1.2)*0.917</f>
        <v>49517.6393067243</v>
      </c>
      <c r="I14" s="71" t="n">
        <f aca="false">M13-F22</f>
        <v>-3572664.67202205</v>
      </c>
      <c r="J14" s="27"/>
      <c r="O14" s="65" t="n">
        <f aca="false">+F14/$F$28*$O$28</f>
        <v>2250.80178666929</v>
      </c>
    </row>
    <row r="15" customFormat="false" ht="12.75" hidden="false" customHeight="false" outlineLevel="0" collapsed="false">
      <c r="A15" s="63" t="s">
        <v>134</v>
      </c>
      <c r="B15" s="64" t="s">
        <v>135</v>
      </c>
      <c r="C15" s="65" t="n">
        <f aca="false">'[25]Team Report'!BA34</f>
        <v>0</v>
      </c>
      <c r="E15" s="65" t="n">
        <f aca="false">((C15/9)*12)*1.2</f>
        <v>0</v>
      </c>
      <c r="F15" s="65" t="n">
        <f aca="false">((E15/$E$28*$L$11)*1.2)*0.917</f>
        <v>0</v>
      </c>
      <c r="J15" s="27"/>
      <c r="L15" s="108"/>
      <c r="O15" s="65" t="n">
        <f aca="false">+F15/$F$28*$O$28</f>
        <v>0</v>
      </c>
    </row>
    <row r="16" customFormat="false" ht="12.75" hidden="false" customHeight="false" outlineLevel="0" collapsed="false">
      <c r="A16" s="63" t="s">
        <v>137</v>
      </c>
      <c r="B16" s="64" t="s">
        <v>138</v>
      </c>
      <c r="C16" s="65" t="n">
        <f aca="false">'[25]Team Report'!BA35</f>
        <v>0</v>
      </c>
      <c r="E16" s="65" t="n">
        <f aca="false">((C16/9)*12)*1.2</f>
        <v>0</v>
      </c>
      <c r="F16" s="65" t="n">
        <f aca="false">((E16/$E$28*$L$11)*1.2)*0.917</f>
        <v>0</v>
      </c>
      <c r="J16" s="0" t="s">
        <v>193</v>
      </c>
      <c r="K16" s="50" t="n">
        <v>33600</v>
      </c>
      <c r="L16" s="50" t="n">
        <v>0</v>
      </c>
      <c r="M16" s="50" t="n">
        <f aca="false">K16*L16</f>
        <v>0</v>
      </c>
      <c r="O16" s="65" t="n">
        <f aca="false">+F16/$F$28*$O$28</f>
        <v>0</v>
      </c>
    </row>
    <row r="17" customFormat="false" ht="12.75" hidden="false" customHeight="false" outlineLevel="0" collapsed="false">
      <c r="A17" s="63" t="s">
        <v>140</v>
      </c>
      <c r="B17" s="64" t="s">
        <v>141</v>
      </c>
      <c r="C17" s="65" t="n">
        <f aca="false">'[25]Team Report'!BA36</f>
        <v>5744.1</v>
      </c>
      <c r="E17" s="65" t="n">
        <f aca="false">((C17/9)*12)*1.6</f>
        <v>12254.08</v>
      </c>
      <c r="F17" s="65" t="n">
        <f aca="false">((E17/$E$28*$L$11)*1.2)*0.917</f>
        <v>2551.10074118919</v>
      </c>
      <c r="J17" s="0" t="s">
        <v>139</v>
      </c>
      <c r="K17" s="50" t="n">
        <v>52800</v>
      </c>
      <c r="L17" s="50" t="n">
        <v>2</v>
      </c>
      <c r="M17" s="50" t="n">
        <f aca="false">K17*L17</f>
        <v>105600</v>
      </c>
      <c r="O17" s="65" t="n">
        <f aca="false">+F17/$F$28*$O$28</f>
        <v>115.959124599509</v>
      </c>
    </row>
    <row r="18" customFormat="false" ht="12.75" hidden="false" customHeight="false" outlineLevel="0" collapsed="false">
      <c r="A18" s="63" t="s">
        <v>143</v>
      </c>
      <c r="B18" s="64" t="s">
        <v>144</v>
      </c>
      <c r="C18" s="65" t="n">
        <f aca="false">'[25]Team Report'!BA37</f>
        <v>67058.6</v>
      </c>
      <c r="E18" s="65" t="n">
        <f aca="false">((C18/9)*12)*1.85</f>
        <v>165411.213333333</v>
      </c>
      <c r="F18" s="65" t="n">
        <f aca="false">((E18/$E$28*$L$11)*1.2)*0.917</f>
        <v>34435.932272</v>
      </c>
      <c r="J18" s="0" t="s">
        <v>142</v>
      </c>
      <c r="K18" s="50" t="n">
        <v>54000</v>
      </c>
      <c r="L18" s="50" t="n">
        <v>0</v>
      </c>
      <c r="M18" s="50" t="n">
        <f aca="false">K18*L18</f>
        <v>0</v>
      </c>
      <c r="O18" s="65" t="n">
        <f aca="false">+F18/$F$28*$O$28</f>
        <v>1565.26964872727</v>
      </c>
    </row>
    <row r="19" customFormat="false" ht="12.75" hidden="false" customHeight="false" outlineLevel="0" collapsed="false">
      <c r="A19" s="63" t="s">
        <v>146</v>
      </c>
      <c r="B19" s="64" t="s">
        <v>147</v>
      </c>
      <c r="C19" s="65" t="n">
        <f aca="false">'[25]Team Report'!BA38</f>
        <v>0</v>
      </c>
      <c r="E19" s="65" t="n">
        <f aca="false">((C19/9)*12)*1.2</f>
        <v>0</v>
      </c>
      <c r="F19" s="65" t="n">
        <f aca="false">((E19/$E$28*$L$11)*1.2)*0.917</f>
        <v>0</v>
      </c>
      <c r="J19" s="0" t="s">
        <v>145</v>
      </c>
      <c r="K19" s="50" t="n">
        <v>63000</v>
      </c>
      <c r="L19" s="50" t="n">
        <v>3</v>
      </c>
      <c r="M19" s="50" t="n">
        <f aca="false">K19*L19</f>
        <v>189000</v>
      </c>
      <c r="O19" s="65" t="n">
        <f aca="false">+F19/$F$28*$O$28</f>
        <v>0</v>
      </c>
    </row>
    <row r="20" customFormat="false" ht="12.75" hidden="false" customHeight="false" outlineLevel="0" collapsed="false">
      <c r="A20" s="63" t="s">
        <v>149</v>
      </c>
      <c r="B20" s="64" t="s">
        <v>150</v>
      </c>
      <c r="C20" s="65" t="n">
        <f aca="false">'[25]Team Report'!BA42</f>
        <v>842429.76</v>
      </c>
      <c r="E20" s="65" t="n">
        <f aca="false">((C20/9)*12)*1.75</f>
        <v>1965669.44</v>
      </c>
      <c r="F20" s="65" t="n">
        <f aca="false">((E20/$E$28*$L$11)*1.2)*0.917</f>
        <v>409220.501687351</v>
      </c>
      <c r="J20" s="0" t="s">
        <v>148</v>
      </c>
      <c r="K20" s="50" t="n">
        <v>78000</v>
      </c>
      <c r="L20" s="50" t="n">
        <v>0</v>
      </c>
      <c r="M20" s="50" t="n">
        <f aca="false">K20*L20</f>
        <v>0</v>
      </c>
      <c r="O20" s="65" t="n">
        <f aca="false">+F20/$F$28*$O$28</f>
        <v>18600.9318948796</v>
      </c>
    </row>
    <row r="21" customFormat="false" ht="12.75" hidden="false" customHeight="false" outlineLevel="0" collapsed="false">
      <c r="A21" s="63" t="s">
        <v>152</v>
      </c>
      <c r="B21" s="64" t="s">
        <v>153</v>
      </c>
      <c r="C21" s="65" t="n">
        <f aca="false">'[25]Team Report'!BA44</f>
        <v>6453.7</v>
      </c>
      <c r="E21" s="65" t="n">
        <f aca="false">((C21/9)*12)*1.2</f>
        <v>10325.92</v>
      </c>
      <c r="F21" s="65" t="n">
        <f aca="false">((E21/$E$28*$L$11)*1.2)*0.917</f>
        <v>2149.68909664865</v>
      </c>
      <c r="J21" s="0" t="s">
        <v>151</v>
      </c>
      <c r="K21" s="50" t="n">
        <v>66000</v>
      </c>
      <c r="L21" s="50" t="n">
        <v>0</v>
      </c>
      <c r="M21" s="50" t="n">
        <f aca="false">K21*L21</f>
        <v>0</v>
      </c>
      <c r="O21" s="65" t="n">
        <f aca="false">+F21/$F$28*$O$28</f>
        <v>97.7131407567567</v>
      </c>
    </row>
    <row r="22" customFormat="false" ht="13.5" hidden="false" customHeight="false" outlineLevel="0" collapsed="false">
      <c r="A22" s="72" t="s">
        <v>155</v>
      </c>
      <c r="B22" s="73" t="s">
        <v>156</v>
      </c>
      <c r="C22" s="74" t="n">
        <f aca="false">SUM(C8:C21)</f>
        <v>14158713.55</v>
      </c>
      <c r="E22" s="74" t="n">
        <f aca="false">SUM(E8:E21)</f>
        <v>21758567.9894667</v>
      </c>
      <c r="F22" s="74" t="n">
        <f aca="false">SUM(F8:F21)</f>
        <v>9635440.76228151</v>
      </c>
      <c r="J22" s="0" t="s">
        <v>154</v>
      </c>
      <c r="K22" s="50" t="n">
        <v>97200</v>
      </c>
      <c r="L22" s="50" t="n">
        <v>0</v>
      </c>
      <c r="M22" s="50" t="n">
        <f aca="false">K22*L22</f>
        <v>0</v>
      </c>
      <c r="O22" s="96" t="n">
        <f aca="false">SUM(O8:O21)</f>
        <v>437974.580103705</v>
      </c>
    </row>
    <row r="23" customFormat="false" ht="12.75" hidden="false" customHeight="false" outlineLevel="0" collapsed="false">
      <c r="J23" s="0" t="s">
        <v>157</v>
      </c>
      <c r="K23" s="50" t="n">
        <v>132000</v>
      </c>
      <c r="L23" s="50" t="n">
        <v>1</v>
      </c>
      <c r="M23" s="50" t="n">
        <f aca="false">K23*L23</f>
        <v>132000</v>
      </c>
    </row>
    <row r="24" customFormat="false" ht="12.75" hidden="false" customHeight="false" outlineLevel="0" collapsed="false">
      <c r="B24" s="73" t="s">
        <v>7</v>
      </c>
      <c r="C24" s="109"/>
      <c r="E24" s="109" t="n">
        <v>111</v>
      </c>
      <c r="F24" s="110" t="n">
        <v>22</v>
      </c>
      <c r="J24" s="0" t="s">
        <v>310</v>
      </c>
      <c r="K24" s="50" t="n">
        <v>178800</v>
      </c>
      <c r="L24" s="50" t="n">
        <v>9</v>
      </c>
      <c r="M24" s="50" t="n">
        <f aca="false">K24*L24</f>
        <v>1609200</v>
      </c>
      <c r="O24" s="77" t="n">
        <f aca="false">SUM(U15:U19,U22:U26)</f>
        <v>0</v>
      </c>
    </row>
    <row r="25" customFormat="false" ht="12.75" hidden="false" customHeight="false" outlineLevel="0" collapsed="false">
      <c r="J25" s="0" t="s">
        <v>311</v>
      </c>
      <c r="K25" s="50" t="n">
        <v>195600</v>
      </c>
      <c r="L25" s="50" t="n">
        <v>2</v>
      </c>
      <c r="M25" s="50" t="n">
        <f aca="false">K25*L25</f>
        <v>391200</v>
      </c>
      <c r="O25" s="65"/>
    </row>
    <row r="26" customFormat="false" ht="12.75" hidden="false" customHeight="false" outlineLevel="0" collapsed="false">
      <c r="B26" s="73" t="s">
        <v>161</v>
      </c>
      <c r="C26" s="109"/>
      <c r="E26" s="109"/>
      <c r="F26" s="109"/>
      <c r="J26" s="0" t="s">
        <v>312</v>
      </c>
      <c r="K26" s="50" t="n">
        <v>217200</v>
      </c>
      <c r="L26" s="50" t="n">
        <v>4</v>
      </c>
      <c r="M26" s="50" t="n">
        <f aca="false">K26*L26</f>
        <v>868800</v>
      </c>
      <c r="O26" s="77" t="n">
        <f aca="false">SUM(U20:U21)</f>
        <v>0</v>
      </c>
    </row>
    <row r="27" customFormat="false" ht="12.75" hidden="false" customHeight="false" outlineLevel="0" collapsed="false">
      <c r="J27" s="0" t="s">
        <v>162</v>
      </c>
      <c r="K27" s="50" t="n">
        <v>345600</v>
      </c>
      <c r="L27" s="50" t="n">
        <v>0</v>
      </c>
      <c r="M27" s="50" t="n">
        <f aca="false">K27*L27</f>
        <v>0</v>
      </c>
    </row>
    <row r="28" customFormat="false" ht="12.75" hidden="false" customHeight="false" outlineLevel="0" collapsed="false">
      <c r="B28" s="73" t="s">
        <v>163</v>
      </c>
      <c r="C28" s="109"/>
      <c r="E28" s="109" t="n">
        <f aca="false">SUM(E24:E27)</f>
        <v>111</v>
      </c>
      <c r="F28" s="109" t="n">
        <f aca="false">SUM(F24:F27)</f>
        <v>22</v>
      </c>
      <c r="L28" s="50" t="n">
        <f aca="false">SUM(L16:L27)</f>
        <v>21</v>
      </c>
      <c r="M28" s="50" t="n">
        <f aca="false">SUM(M16:M27)</f>
        <v>3295800</v>
      </c>
      <c r="O28" s="77" t="n">
        <v>1</v>
      </c>
    </row>
    <row r="29" customFormat="false" ht="12.75" hidden="false" customHeight="false" outlineLevel="0" collapsed="false">
      <c r="B29" s="73"/>
    </row>
    <row r="30" customFormat="false" ht="12.75" hidden="true" customHeight="false" outlineLevel="0" collapsed="false">
      <c r="A30" s="63" t="s">
        <v>221</v>
      </c>
      <c r="B30" s="64" t="s">
        <v>236</v>
      </c>
      <c r="C30" s="65" t="n">
        <f aca="false">'[25]Team Report'!BA29</f>
        <v>-24140467.68</v>
      </c>
      <c r="E30" s="65" t="n">
        <f aca="false">(C30/9)*12</f>
        <v>-32187290.24</v>
      </c>
      <c r="F30" s="65"/>
      <c r="J30" s="0" t="s">
        <v>249</v>
      </c>
      <c r="L30" s="78"/>
      <c r="M30" s="78" t="n">
        <v>0.2</v>
      </c>
    </row>
    <row r="31" customFormat="false" ht="12.75" hidden="true" customHeight="false" outlineLevel="0" collapsed="false">
      <c r="A31" s="63" t="s">
        <v>223</v>
      </c>
      <c r="B31" s="64" t="s">
        <v>237</v>
      </c>
      <c r="C31" s="65" t="n">
        <f aca="false">'[25]Team Report'!BA30</f>
        <v>0</v>
      </c>
      <c r="E31" s="65" t="n">
        <f aca="false">(C31/9)*12</f>
        <v>0</v>
      </c>
      <c r="F31" s="65"/>
    </row>
    <row r="32" customFormat="false" ht="12.75" hidden="true" customHeight="false" outlineLevel="0" collapsed="false">
      <c r="A32" s="63" t="s">
        <v>224</v>
      </c>
      <c r="B32" s="64" t="s">
        <v>238</v>
      </c>
      <c r="C32" s="65" t="n">
        <f aca="false">'[25]Team Report'!BA31</f>
        <v>0</v>
      </c>
      <c r="E32" s="65" t="n">
        <f aca="false">(C32/9)*12</f>
        <v>0</v>
      </c>
      <c r="F32" s="65"/>
      <c r="M32" s="50" t="n">
        <f aca="false">M28*1.2</f>
        <v>3954960</v>
      </c>
    </row>
    <row r="33" customFormat="false" ht="12.75" hidden="true" customHeight="false" outlineLevel="0" collapsed="false">
      <c r="A33" s="63" t="s">
        <v>225</v>
      </c>
      <c r="B33" s="64" t="s">
        <v>239</v>
      </c>
      <c r="C33" s="65" t="n">
        <f aca="false">'[25]Team Report'!BA39</f>
        <v>0</v>
      </c>
      <c r="E33" s="65" t="n">
        <f aca="false">(C33/9)*12</f>
        <v>0</v>
      </c>
      <c r="F33" s="65"/>
    </row>
    <row r="34" customFormat="false" ht="12.75" hidden="true" customHeight="false" outlineLevel="0" collapsed="false">
      <c r="A34" s="63" t="s">
        <v>226</v>
      </c>
      <c r="B34" s="64" t="s">
        <v>240</v>
      </c>
      <c r="C34" s="65" t="n">
        <f aca="false">'[25]Team Report'!BA40</f>
        <v>164920.93</v>
      </c>
      <c r="E34" s="65" t="n">
        <f aca="false">(C34/9)*12</f>
        <v>219894.573333333</v>
      </c>
      <c r="F34" s="65"/>
    </row>
    <row r="35" customFormat="false" ht="12.75" hidden="true" customHeight="false" outlineLevel="0" collapsed="false">
      <c r="A35" s="63" t="s">
        <v>227</v>
      </c>
      <c r="B35" s="64" t="s">
        <v>241</v>
      </c>
      <c r="C35" s="65" t="n">
        <f aca="false">'[25]Team Report'!BA41</f>
        <v>945381.27</v>
      </c>
      <c r="E35" s="65" t="n">
        <f aca="false">(C35/9)*12</f>
        <v>1260508.36</v>
      </c>
      <c r="F35" s="65"/>
    </row>
    <row r="36" customFormat="false" ht="12.75" hidden="true" customHeight="false" outlineLevel="0" collapsed="false">
      <c r="A36" s="63" t="s">
        <v>228</v>
      </c>
      <c r="B36" s="64" t="s">
        <v>242</v>
      </c>
      <c r="C36" s="65" t="n">
        <f aca="false">'[25]Team Report'!BA43</f>
        <v>-5121278.52</v>
      </c>
      <c r="E36" s="65" t="n">
        <f aca="false">(C36/9)*12</f>
        <v>-6828371.36</v>
      </c>
      <c r="F36" s="65"/>
      <c r="I36" s="17" t="s">
        <v>164</v>
      </c>
      <c r="J36" s="50"/>
      <c r="M36" s="0"/>
    </row>
    <row r="37" customFormat="false" ht="12.75" hidden="true" customHeight="false" outlineLevel="0" collapsed="false">
      <c r="A37" s="63" t="s">
        <v>229</v>
      </c>
      <c r="B37" s="64" t="s">
        <v>243</v>
      </c>
      <c r="C37" s="65" t="n">
        <f aca="false">'[25]Team Report'!BA45</f>
        <v>0</v>
      </c>
      <c r="E37" s="65" t="n">
        <f aca="false">(C37/9)*12</f>
        <v>0</v>
      </c>
      <c r="F37" s="65"/>
      <c r="J37" s="50"/>
      <c r="M37" s="0"/>
    </row>
    <row r="38" customFormat="false" ht="12.75" hidden="true" customHeight="false" outlineLevel="0" collapsed="false">
      <c r="A38" s="63" t="s">
        <v>130</v>
      </c>
      <c r="B38" s="64" t="s">
        <v>131</v>
      </c>
      <c r="C38" s="65" t="n">
        <v>24143776.43</v>
      </c>
      <c r="E38" s="65" t="n">
        <v>32191701.9066667</v>
      </c>
      <c r="F38" s="65"/>
      <c r="I38" s="79" t="s">
        <v>165</v>
      </c>
      <c r="J38" s="80" t="s">
        <v>166</v>
      </c>
      <c r="K38" s="80" t="s">
        <v>167</v>
      </c>
      <c r="L38" s="80" t="s">
        <v>110</v>
      </c>
      <c r="M38" s="80" t="s">
        <v>168</v>
      </c>
    </row>
    <row r="39" customFormat="false" ht="12.75" hidden="false" customHeight="false" outlineLevel="0" collapsed="false">
      <c r="I39" s="81" t="n">
        <f aca="false">SUM(E11:E21)</f>
        <v>5617530.7628</v>
      </c>
      <c r="J39" s="111" t="n">
        <f aca="false">+E28</f>
        <v>111</v>
      </c>
      <c r="K39" s="80" t="n">
        <f aca="false">+I39/J39</f>
        <v>50608.3852504505</v>
      </c>
      <c r="L39" s="80" t="n">
        <f aca="false">+L11</f>
        <v>21</v>
      </c>
      <c r="M39" s="80" t="n">
        <f aca="false">+K39*L39</f>
        <v>1062776.09025946</v>
      </c>
      <c r="N39" s="50"/>
    </row>
    <row r="40" customFormat="false" ht="12.75" hidden="false" customHeight="false" outlineLevel="0" collapsed="false">
      <c r="K40" s="0"/>
      <c r="M40" s="0"/>
    </row>
    <row r="41" customFormat="false" ht="12.75" hidden="false" customHeight="false" outlineLevel="0" collapsed="false">
      <c r="I41" s="0" t="s">
        <v>313</v>
      </c>
      <c r="K41" s="0"/>
      <c r="M41" s="0"/>
    </row>
    <row r="43" customFormat="false" ht="12.75" hidden="false" customHeight="false" outlineLevel="0" collapsed="false">
      <c r="C43" s="103" t="n">
        <f aca="false">C22+C30+C31+C32+C33+C34+C35+C36+C37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1" activeCellId="0" sqref="O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false" hidden="true" outlineLevel="0" max="13" min="13" style="0" width="9.06"/>
    <col collapsed="false" customWidth="true" hidden="false" outlineLevel="0" max="14" min="14" style="0" width="13.99"/>
    <col collapsed="false" customWidth="true" hidden="false" outlineLevel="0" max="15" min="15" style="0" width="13.85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314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128304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89100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17820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</v>
      </c>
      <c r="L11" s="60" t="n">
        <f aca="false">J11*K11</f>
        <v>48270.18125</v>
      </c>
      <c r="N11" s="82" t="s">
        <v>21</v>
      </c>
      <c r="O11" s="82" t="s">
        <v>315</v>
      </c>
      <c r="P11" s="82" t="s">
        <v>180</v>
      </c>
      <c r="Q11" s="82" t="s">
        <v>316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6162.47375</v>
      </c>
      <c r="I12" s="59"/>
      <c r="L12" s="60"/>
      <c r="N12" s="82" t="s">
        <v>21</v>
      </c>
      <c r="O12" s="82" t="s">
        <v>317</v>
      </c>
      <c r="P12" s="82" t="s">
        <v>183</v>
      </c>
      <c r="Q12" s="82" t="s">
        <v>316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(E13/$E$29)*$K$11</f>
        <v>5484.95691666667</v>
      </c>
      <c r="I13" s="68" t="s">
        <v>129</v>
      </c>
      <c r="J13" s="69"/>
      <c r="K13" s="69"/>
      <c r="L13" s="70" t="n">
        <f aca="false">L8+L11</f>
        <v>176574.18125</v>
      </c>
      <c r="N13" s="82" t="s">
        <v>21</v>
      </c>
      <c r="O13" s="82" t="s">
        <v>318</v>
      </c>
      <c r="P13" s="82" t="s">
        <v>177</v>
      </c>
      <c r="Q13" s="82" t="s">
        <v>319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</f>
        <v>0.00200000000016492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871.358333333333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49.1666666666667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892.957666666667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910.086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0.133333333333333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1131.57425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122422.708916667</v>
      </c>
      <c r="I23" s="50" t="s">
        <v>157</v>
      </c>
      <c r="J23" s="50" t="n">
        <v>110000</v>
      </c>
      <c r="K23" s="50" t="n">
        <v>0</v>
      </c>
      <c r="L23" s="50" t="n">
        <f aca="false">J23*K23</f>
        <v>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0</v>
      </c>
      <c r="L24" s="50" t="n">
        <f aca="false">J24*K24</f>
        <v>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1</v>
      </c>
      <c r="L28" s="50" t="n">
        <f aca="false">SUM(L16:L27)*1.2</f>
        <v>106920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128304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false" hidden="true" outlineLevel="0" max="13" min="13" style="0" width="9.06"/>
    <col collapsed="false" customWidth="true" hidden="true" outlineLevel="0" max="14" min="14" style="0" width="16.84"/>
    <col collapsed="false" customWidth="true" hidden="true" outlineLevel="0" max="15" min="15" style="0" width="15.85"/>
    <col collapsed="false" customWidth="true" hidden="tru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175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128304</v>
      </c>
      <c r="Q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89100</v>
      </c>
      <c r="I10" s="59"/>
      <c r="L10" s="60"/>
      <c r="Q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17820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</v>
      </c>
      <c r="L11" s="60" t="n">
        <f aca="false">J11*K11</f>
        <v>48270.18125</v>
      </c>
      <c r="N11" s="82" t="s">
        <v>176</v>
      </c>
      <c r="O11" s="82" t="s">
        <v>177</v>
      </c>
      <c r="P11" s="82" t="s">
        <v>178</v>
      </c>
      <c r="Q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6162.47375</v>
      </c>
      <c r="I12" s="59"/>
      <c r="L12" s="60"/>
      <c r="N12" s="82" t="s">
        <v>179</v>
      </c>
      <c r="O12" s="82" t="s">
        <v>180</v>
      </c>
      <c r="P12" s="82" t="s">
        <v>178</v>
      </c>
      <c r="Q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(E13/$E$29)*$K$11</f>
        <v>5484.95691666667</v>
      </c>
      <c r="I13" s="68" t="s">
        <v>129</v>
      </c>
      <c r="J13" s="69"/>
      <c r="K13" s="69"/>
      <c r="L13" s="70" t="n">
        <f aca="false">L8+L11</f>
        <v>176574.18125</v>
      </c>
      <c r="N13" s="82" t="s">
        <v>181</v>
      </c>
      <c r="O13" s="82" t="s">
        <v>180</v>
      </c>
      <c r="P13" s="82" t="s">
        <v>178</v>
      </c>
      <c r="Q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</f>
        <v>0.00200000000016492</v>
      </c>
      <c r="N14" s="82" t="s">
        <v>182</v>
      </c>
      <c r="O14" s="82" t="s">
        <v>183</v>
      </c>
      <c r="P14" s="82" t="s">
        <v>178</v>
      </c>
      <c r="Q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871.358333333333</v>
      </c>
      <c r="N15" s="82" t="s">
        <v>184</v>
      </c>
      <c r="O15" s="82" t="s">
        <v>185</v>
      </c>
      <c r="P15" s="82" t="s">
        <v>178</v>
      </c>
      <c r="Q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N16" s="82" t="s">
        <v>186</v>
      </c>
      <c r="O16" s="82" t="s">
        <v>185</v>
      </c>
      <c r="P16" s="82" t="s">
        <v>178</v>
      </c>
      <c r="Q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49.1666666666667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N17" s="83" t="s">
        <v>187</v>
      </c>
      <c r="O17" s="83" t="s">
        <v>145</v>
      </c>
      <c r="P17" s="82" t="s">
        <v>178</v>
      </c>
      <c r="Q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892.957666666667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910.086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0.133333333333333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1131.57425</v>
      </c>
      <c r="I21" s="50" t="s">
        <v>151</v>
      </c>
      <c r="J21" s="50" t="n">
        <v>60500</v>
      </c>
      <c r="K21" s="50" t="n">
        <v>0</v>
      </c>
      <c r="L21" s="50" t="n">
        <f aca="false">J21*K21</f>
        <v>0</v>
      </c>
      <c r="P21" s="27"/>
      <c r="Q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1</v>
      </c>
      <c r="L22" s="50" t="n">
        <f aca="false">J22*K22</f>
        <v>89100</v>
      </c>
      <c r="P22" s="27"/>
      <c r="Q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122422.708916667</v>
      </c>
      <c r="I23" s="50" t="s">
        <v>157</v>
      </c>
      <c r="J23" s="50" t="n">
        <v>110000</v>
      </c>
      <c r="K23" s="50" t="n">
        <v>0</v>
      </c>
      <c r="L23" s="50" t="n">
        <f aca="false">J23*K23</f>
        <v>0</v>
      </c>
      <c r="P23" s="27"/>
      <c r="Q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0</v>
      </c>
      <c r="L24" s="50" t="n">
        <f aca="false">J24*K24</f>
        <v>0</v>
      </c>
      <c r="P24" s="27"/>
      <c r="Q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P25" s="27"/>
      <c r="Q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P26" s="27"/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P27" s="27"/>
      <c r="Q27" s="65"/>
    </row>
    <row r="28" customFormat="false" ht="12.75" hidden="false" customHeight="false" outlineLevel="0" collapsed="false">
      <c r="K28" s="50" t="n">
        <f aca="false">SUM(K16:K27)</f>
        <v>1</v>
      </c>
      <c r="L28" s="50" t="n">
        <f aca="false">SUM(L16:L27)*1.2</f>
        <v>106920</v>
      </c>
      <c r="P28" s="27"/>
      <c r="Q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</v>
      </c>
      <c r="L29" s="78" t="n">
        <v>0.2</v>
      </c>
      <c r="P29" s="27"/>
      <c r="Q29" s="65"/>
    </row>
    <row r="30" customFormat="false" ht="12.75" hidden="true" customHeight="false" outlineLevel="0" collapsed="false">
      <c r="L30" s="50" t="n">
        <f aca="false">L28*1.2</f>
        <v>128304</v>
      </c>
      <c r="P30" s="27"/>
      <c r="Q30" s="27"/>
    </row>
    <row r="31" customFormat="false" ht="12.75" hidden="true" customHeight="false" outlineLevel="0" collapsed="false">
      <c r="H31" s="17" t="s">
        <v>164</v>
      </c>
      <c r="L31" s="0"/>
      <c r="P31" s="27"/>
      <c r="Q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P32" s="27"/>
      <c r="Q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P33" s="27"/>
      <c r="Q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7"/>
      <c r="Q34" s="27"/>
    </row>
    <row r="35" customFormat="false" ht="12.75" hidden="true" customHeight="false" outlineLevel="0" collapsed="false">
      <c r="P35" s="27"/>
      <c r="Q35" s="27"/>
    </row>
    <row r="36" customFormat="false" ht="12.75" hidden="true" customHeight="false" outlineLevel="0" collapsed="false">
      <c r="P36" s="27"/>
      <c r="Q36" s="27"/>
    </row>
    <row r="37" customFormat="false" ht="12.75" hidden="true" customHeight="false" outlineLevel="0" collapsed="false">
      <c r="P37" s="27"/>
      <c r="Q37" s="27"/>
    </row>
    <row r="38" customFormat="false" ht="12.75" hidden="true" customHeight="false" outlineLevel="0" collapsed="false">
      <c r="P38" s="27"/>
      <c r="Q38" s="27"/>
    </row>
    <row r="39" customFormat="false" ht="12.75" hidden="false" customHeight="false" outlineLevel="0" collapsed="false">
      <c r="P39" s="27"/>
      <c r="Q39" s="2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1" t="str">
        <f aca="false">'[16]Team Report'!B1</f>
        <v>Enron North America</v>
      </c>
      <c r="C1" s="51"/>
      <c r="D1" s="51"/>
      <c r="E1" s="51"/>
      <c r="F1" s="51"/>
      <c r="G1" s="51"/>
      <c r="H1" s="51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customFormat="false" ht="18" hidden="false" customHeight="false" outlineLevel="0" collapsed="false">
      <c r="B2" s="51" t="s">
        <v>320</v>
      </c>
      <c r="C2" s="51"/>
      <c r="D2" s="51"/>
      <c r="E2" s="51"/>
      <c r="F2" s="51"/>
      <c r="G2" s="51"/>
      <c r="H2" s="51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customFormat="false" ht="13.5" hidden="false" customHeight="false" outlineLevel="0" collapsed="false">
      <c r="I4" s="105" t="s">
        <v>253</v>
      </c>
      <c r="J4" s="105"/>
      <c r="K4" s="105"/>
      <c r="L4" s="105"/>
    </row>
    <row r="5" customFormat="false" ht="12.75" hidden="false" customHeight="false" outlineLevel="0" collapsed="false">
      <c r="I5" s="85"/>
      <c r="J5" s="57"/>
      <c r="K5" s="57"/>
      <c r="L5" s="58"/>
      <c r="M5" s="27"/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214</v>
      </c>
      <c r="H6" s="61" t="s">
        <v>114</v>
      </c>
      <c r="I6" s="88"/>
      <c r="J6" s="80" t="s">
        <v>109</v>
      </c>
      <c r="K6" s="80" t="s">
        <v>110</v>
      </c>
      <c r="L6" s="106" t="s">
        <v>232</v>
      </c>
      <c r="M6" s="27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215</v>
      </c>
      <c r="H7" s="62" t="s">
        <v>118</v>
      </c>
      <c r="I7" s="88"/>
      <c r="L7" s="60"/>
      <c r="M7" s="27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'[16]Team Report'!BA25</f>
        <v>4985502.23</v>
      </c>
      <c r="E8" s="65" t="n">
        <f aca="false">((C8/9)*12)*1.3</f>
        <v>8641537.19866667</v>
      </c>
      <c r="H8" s="65" t="n">
        <f aca="false">(L29-H10-2561483)*1.2</f>
        <v>11877365.04</v>
      </c>
      <c r="I8" s="88"/>
      <c r="L8" s="60"/>
      <c r="M8" s="27"/>
      <c r="Q8" s="65" t="n">
        <f aca="false">+H8/$H$29*$Q$29</f>
        <v>69866.8531764706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H9" s="65" t="n">
        <v>0</v>
      </c>
      <c r="I9" s="88" t="s">
        <v>120</v>
      </c>
      <c r="J9" s="50" t="n">
        <v>0</v>
      </c>
      <c r="K9" s="50" t="n">
        <f aca="false">K29</f>
        <v>184</v>
      </c>
      <c r="L9" s="60" t="n">
        <f aca="false">L33</f>
        <v>17530500</v>
      </c>
      <c r="M9" s="27"/>
      <c r="Q9" s="65" t="n">
        <f aca="false">+H9/$H$29*$Q$29</f>
        <v>0</v>
      </c>
    </row>
    <row r="10" customFormat="false" ht="12.75" hidden="false" customHeight="false" outlineLevel="0" collapsed="false">
      <c r="A10" s="63"/>
      <c r="B10" s="64" t="s">
        <v>234</v>
      </c>
      <c r="C10" s="65" t="n">
        <v>0</v>
      </c>
      <c r="E10" s="65" t="n">
        <f aca="false">(C10/9)*12</f>
        <v>0</v>
      </c>
      <c r="H10" s="65" t="n">
        <f aca="false">(L20+L21+591219)*1.2</f>
        <v>2149462.8</v>
      </c>
      <c r="I10" s="88"/>
      <c r="L10" s="60"/>
      <c r="M10" s="27"/>
      <c r="Q10" s="65" t="n">
        <f aca="false">+H10/$H$29*$Q$29</f>
        <v>12643.8988235294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'[16]Team Report'!BA26</f>
        <v>1210281.11</v>
      </c>
      <c r="E11" s="65" t="n">
        <f aca="false">((C11/9)*12)*1.3</f>
        <v>2097820.59066667</v>
      </c>
      <c r="H11" s="65" t="n">
        <f aca="false">(L33-L29-378340)*1.2</f>
        <v>3052092</v>
      </c>
      <c r="I11" s="88"/>
      <c r="L11" s="60"/>
      <c r="M11" s="27"/>
      <c r="Q11" s="65" t="n">
        <f aca="false">+H11/$H$29*$Q$29</f>
        <v>17953.4823529412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'[16]Team Report'!BA27</f>
        <v>190029.97</v>
      </c>
      <c r="E12" s="65" t="n">
        <f aca="false">((C12/9)*12)*1.3</f>
        <v>329385.281333333</v>
      </c>
      <c r="H12" s="65" t="n">
        <f aca="false">((E12/$E$29)*$K$12-208603)*1.2+15000</f>
        <v>381017.672189831</v>
      </c>
      <c r="I12" s="88" t="s">
        <v>83</v>
      </c>
      <c r="J12" s="50" t="n">
        <f aca="false">(E12+E13+E14+E15+E16+E17+E18+E19+E20+E21+E22)/E29</f>
        <v>72139.8418870057</v>
      </c>
      <c r="K12" s="50" t="n">
        <f aca="false">K29</f>
        <v>184</v>
      </c>
      <c r="L12" s="60" t="n">
        <f aca="false">J12*K12</f>
        <v>13273730.907209</v>
      </c>
      <c r="M12" s="27"/>
      <c r="Q12" s="65" t="n">
        <f aca="false">+H12/$H$29*$Q$29</f>
        <v>2241.28042464606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'[16]Team Report'!BA28</f>
        <v>78390.58</v>
      </c>
      <c r="E13" s="65" t="n">
        <f aca="false">((C13/9)*12)*1.3</f>
        <v>135877.005333333</v>
      </c>
      <c r="H13" s="65" t="n">
        <f aca="false">((E13/$E$29)*$K$12+143684)*1.2</f>
        <v>426672.009979661</v>
      </c>
      <c r="I13" s="88"/>
      <c r="L13" s="60"/>
      <c r="M13" s="27"/>
      <c r="Q13" s="65" t="n">
        <f aca="false">+H13/$H$29*$Q$29</f>
        <v>2509.83535282154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(4000000*1.2)+222800</f>
        <v>5022800</v>
      </c>
      <c r="H14" s="65" t="n">
        <f aca="false">((E14/$E$29)*$K$12-7551171)*1.2</f>
        <v>337190.054237289</v>
      </c>
      <c r="I14" s="93" t="s">
        <v>129</v>
      </c>
      <c r="J14" s="69"/>
      <c r="K14" s="69"/>
      <c r="L14" s="70" t="n">
        <f aca="false">SUM(L9:L12)</f>
        <v>30804230.907209</v>
      </c>
      <c r="M14" s="27"/>
      <c r="N14" s="0" t="n">
        <v>36500125</v>
      </c>
      <c r="P14" s="71" t="n">
        <f aca="false">N14-L14</f>
        <v>5695894.09279096</v>
      </c>
      <c r="Q14" s="65" t="n">
        <f aca="false">+H14/$H$29*$Q$29</f>
        <v>1983.47090727817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'[16]Team Report'!BA33</f>
        <v>69921.63</v>
      </c>
      <c r="E15" s="65" t="n">
        <f aca="false">2087875*1.3</f>
        <v>2714237.5</v>
      </c>
      <c r="H15" s="65" t="n">
        <f aca="false">((E15/$E$29)*$K$12-3878978)*1.2</f>
        <v>424070.806779661</v>
      </c>
      <c r="I15" s="27"/>
      <c r="M15" s="27"/>
      <c r="Q15" s="65" t="n">
        <f aca="false">+H15/$H$29*$Q$29</f>
        <v>2494.53415752742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'[16]Team Report'!BA34</f>
        <v>0</v>
      </c>
      <c r="E16" s="65" t="n">
        <f aca="false">(C16/9)*12</f>
        <v>0</v>
      </c>
      <c r="H16" s="65" t="n">
        <f aca="false">((E16/$E$29)*$K$12)*1.2</f>
        <v>0</v>
      </c>
      <c r="I16" s="27"/>
      <c r="M16" s="27"/>
      <c r="Q16" s="65" t="n">
        <f aca="false">+H16/$H$29*$Q$29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'[16]Team Report'!BA35</f>
        <v>0</v>
      </c>
      <c r="E17" s="65" t="n">
        <f aca="false">(C17/9)*12</f>
        <v>0</v>
      </c>
      <c r="H17" s="65" t="n">
        <f aca="false">((E17/$E$29)*$K$12)*1.2</f>
        <v>0</v>
      </c>
      <c r="I17" s="27" t="s">
        <v>193</v>
      </c>
      <c r="J17" s="50" t="n">
        <v>37500</v>
      </c>
      <c r="K17" s="0" t="n">
        <f aca="false">1+1</f>
        <v>2</v>
      </c>
      <c r="L17" s="50" t="n">
        <f aca="false">J17*K17</f>
        <v>75000</v>
      </c>
      <c r="N17" s="0" t="n">
        <v>1.25</v>
      </c>
      <c r="Q17" s="65" t="n">
        <f aca="false">+H17/$H$29*$Q$29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'[16]Team Report'!BA36</f>
        <v>19039.67</v>
      </c>
      <c r="E18" s="65" t="n">
        <f aca="false">((C18/9)*12)*1.3</f>
        <v>33002.0946666667</v>
      </c>
      <c r="H18" s="65" t="n">
        <f aca="false">((E18/$E$29)*$K$12+1401739)*1.2</f>
        <v>1743839.87205424</v>
      </c>
      <c r="I18" s="0" t="s">
        <v>255</v>
      </c>
      <c r="J18" s="50" t="n">
        <v>52500</v>
      </c>
      <c r="K18" s="0" t="n">
        <f aca="false">1+2+1+1</f>
        <v>5</v>
      </c>
      <c r="L18" s="50" t="n">
        <f aca="false">J18*K18</f>
        <v>262500</v>
      </c>
      <c r="Q18" s="65" t="n">
        <f aca="false">+H18/$H$29*$Q$29</f>
        <v>10257.881600319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'[16]Team Report'!BA37</f>
        <v>17422.02</v>
      </c>
      <c r="E19" s="65" t="n">
        <v>145000</v>
      </c>
      <c r="H19" s="65" t="n">
        <f aca="false">((E19/$E$29)*$K$12+84308)*1.2</f>
        <v>372491.633898305</v>
      </c>
      <c r="I19" s="0" t="s">
        <v>142</v>
      </c>
      <c r="J19" s="50" t="n">
        <v>56250</v>
      </c>
      <c r="K19" s="0" t="n">
        <f aca="false">7+2+1+1+4+2</f>
        <v>17</v>
      </c>
      <c r="L19" s="50" t="n">
        <f aca="false">J19*K19</f>
        <v>956250</v>
      </c>
      <c r="Q19" s="65" t="n">
        <f aca="false">+H19/$H$29*$Q$29</f>
        <v>2191.12725822532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'[16]Team Report'!BA38</f>
        <v>0</v>
      </c>
      <c r="E20" s="65" t="n">
        <f aca="false">(C20/9)*12</f>
        <v>0</v>
      </c>
      <c r="H20" s="65" t="n">
        <f aca="false">((E20/$E$29)*$K$12)*1.2</f>
        <v>0</v>
      </c>
      <c r="I20" s="0" t="s">
        <v>154</v>
      </c>
      <c r="J20" s="50" t="n">
        <v>75000</v>
      </c>
      <c r="K20" s="0" t="n">
        <f aca="false">3+1</f>
        <v>4</v>
      </c>
      <c r="L20" s="50" t="n">
        <f aca="false">J20*K20</f>
        <v>300000</v>
      </c>
      <c r="Q20" s="65" t="n">
        <f aca="false">+H20/$H$29*$Q$29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'[16]Team Report'!BA42</f>
        <v>75042.68</v>
      </c>
      <c r="E21" s="65" t="n">
        <f aca="false">((C21/9)*12)*1.3</f>
        <v>130073.978666667</v>
      </c>
      <c r="H21" s="65" t="n">
        <v>0</v>
      </c>
      <c r="I21" s="0" t="s">
        <v>256</v>
      </c>
      <c r="J21" s="50" t="n">
        <v>60000</v>
      </c>
      <c r="K21" s="0" t="n">
        <f aca="false">2+12+1</f>
        <v>15</v>
      </c>
      <c r="L21" s="50" t="n">
        <f aca="false">J21*K21</f>
        <v>900000</v>
      </c>
      <c r="Q21" s="65" t="n">
        <f aca="false">+H21/$H$29*$Q$29</f>
        <v>0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'[16]Team Report'!BA44</f>
        <v>1226.24</v>
      </c>
      <c r="E22" s="65" t="n">
        <f aca="false">((C22/9)*12)*1.3</f>
        <v>2125.48266666667</v>
      </c>
      <c r="H22" s="65" t="n">
        <v>0</v>
      </c>
      <c r="I22" s="0" t="s">
        <v>145</v>
      </c>
      <c r="J22" s="50" t="n">
        <v>65000</v>
      </c>
      <c r="K22" s="0" t="n">
        <f aca="false">8+4+5+10+9+2+2+4+4+1</f>
        <v>49</v>
      </c>
      <c r="L22" s="50" t="n">
        <f aca="false">J22*K22</f>
        <v>3185000</v>
      </c>
      <c r="Q22" s="65" t="n">
        <f aca="false">+H22/$H$29*$Q$29</f>
        <v>0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20764201.889139</v>
      </c>
      <c r="I23" s="0" t="s">
        <v>257</v>
      </c>
      <c r="J23" s="50" t="n">
        <v>82500</v>
      </c>
      <c r="K23" s="0" t="n">
        <f aca="false">10+1+13+6+6+3+7+1+2+6</f>
        <v>55</v>
      </c>
      <c r="L23" s="50" t="n">
        <f aca="false">J23*K23</f>
        <v>4537500</v>
      </c>
      <c r="Q23" s="74" t="n">
        <f aca="false">SUM(Q8:Q22)</f>
        <v>122142.364053759</v>
      </c>
    </row>
    <row r="24" customFormat="false" ht="12.75" hidden="false" customHeight="false" outlineLevel="0" collapsed="false">
      <c r="I24" s="0" t="s">
        <v>258</v>
      </c>
      <c r="J24" s="50" t="n">
        <v>100000</v>
      </c>
      <c r="K24" s="0" t="n">
        <f aca="false">2+1+8+6+3+1+4</f>
        <v>25</v>
      </c>
      <c r="L24" s="50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9"/>
      <c r="E25" s="109" t="n">
        <v>114</v>
      </c>
      <c r="H25" s="109" t="n">
        <v>151</v>
      </c>
      <c r="I25" s="0" t="s">
        <v>259</v>
      </c>
      <c r="J25" s="50" t="n">
        <v>145000</v>
      </c>
      <c r="K25" s="0" t="n">
        <f aca="false">1+1+1+1+2+1+2</f>
        <v>9</v>
      </c>
      <c r="L25" s="50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260</v>
      </c>
      <c r="J26" s="50" t="n">
        <v>175000</v>
      </c>
      <c r="K26" s="0" t="n">
        <f aca="false">1+1</f>
        <v>2</v>
      </c>
      <c r="L26" s="50" t="n">
        <f aca="false">J26*K26</f>
        <v>350000</v>
      </c>
      <c r="Q26" s="65"/>
    </row>
    <row r="27" customFormat="false" ht="12.75" hidden="false" customHeight="false" outlineLevel="0" collapsed="false">
      <c r="B27" s="73" t="s">
        <v>161</v>
      </c>
      <c r="C27" s="109"/>
      <c r="E27" s="109" t="n">
        <v>4</v>
      </c>
      <c r="H27" s="109" t="n">
        <f aca="false">SUM(K20:K21)</f>
        <v>19</v>
      </c>
      <c r="I27" s="0" t="s">
        <v>261</v>
      </c>
      <c r="J27" s="50" t="n">
        <v>237500</v>
      </c>
      <c r="K27" s="0" t="n">
        <f aca="false">1</f>
        <v>1</v>
      </c>
      <c r="L27" s="50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262</v>
      </c>
      <c r="J28" s="50" t="n">
        <v>312500</v>
      </c>
      <c r="K28" s="0" t="n">
        <v>0</v>
      </c>
      <c r="L28" s="50" t="n">
        <f aca="false">J28*K28</f>
        <v>0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118</v>
      </c>
      <c r="H29" s="109" t="n">
        <f aca="false">SUM(H25:H28)</f>
        <v>170</v>
      </c>
      <c r="K29" s="50" t="n">
        <f aca="false">SUM(K17:K28)</f>
        <v>184</v>
      </c>
      <c r="L29" s="50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'[16]Team Report'!BA29</f>
        <v>0</v>
      </c>
      <c r="E31" s="65" t="n">
        <f aca="false">(C31/9)*12</f>
        <v>0</v>
      </c>
      <c r="I31" s="0" t="s">
        <v>249</v>
      </c>
      <c r="K31" s="78"/>
      <c r="L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'[16]Team Report'!BA30</f>
        <v>0</v>
      </c>
      <c r="E32" s="65" t="n">
        <f aca="false">(C32/9)*12</f>
        <v>0</v>
      </c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'[16]Team Report'!BA31</f>
        <v>0</v>
      </c>
      <c r="E33" s="65" t="n">
        <f aca="false">(C33/9)*12</f>
        <v>0</v>
      </c>
      <c r="L33" s="50" t="n">
        <f aca="false">L29*1.2</f>
        <v>17530500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'[16]Team Report'!BA39</f>
        <v>0</v>
      </c>
      <c r="E34" s="65" t="n">
        <f aca="false">(C34/9)*12</f>
        <v>0</v>
      </c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'[16]Team Report'!BA40</f>
        <v>24670.39</v>
      </c>
      <c r="E35" s="65" t="n">
        <f aca="false">(C35/9)*12</f>
        <v>32893.8533333333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'[16]Team Report'!BA41</f>
        <v>481045.43</v>
      </c>
      <c r="E36" s="65" t="n">
        <f aca="false">(C36/9)*12</f>
        <v>641393.906666667</v>
      </c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'[16]Team Report'!BA43</f>
        <v>-771915.88</v>
      </c>
      <c r="E37" s="65" t="n">
        <f aca="false">(C37/9)*12</f>
        <v>-1029221.17333333</v>
      </c>
      <c r="H37" s="17" t="s">
        <v>164</v>
      </c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'[16]Team Report'!BA45</f>
        <v>0</v>
      </c>
      <c r="E38" s="65" t="n">
        <f aca="false">(C38/9)*12</f>
        <v>0</v>
      </c>
    </row>
    <row r="39" customFormat="false" ht="12.75" hidden="true" customHeight="false" outlineLevel="0" collapsed="false">
      <c r="A39" s="63"/>
      <c r="B39" s="64"/>
      <c r="C39" s="65"/>
      <c r="E39" s="65"/>
      <c r="H39" s="0" t="s">
        <v>263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321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K28-G11-G10</f>
        <v>2197008</v>
      </c>
      <c r="H8" s="88" t="s">
        <v>120</v>
      </c>
      <c r="I8" s="50" t="n">
        <v>0</v>
      </c>
      <c r="J8" s="27"/>
      <c r="K8" s="92" t="n">
        <f aca="false">K28</f>
        <v>3912480</v>
      </c>
      <c r="O8" s="65" t="n">
        <f aca="false">+G8/$G$29*$O$29</f>
        <v>81370.6666666667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n">
        <f aca="false">+G9/$G$29*$O$29</f>
        <v>0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</f>
        <v>788400</v>
      </c>
      <c r="H10" s="88"/>
      <c r="J10" s="27"/>
      <c r="K10" s="89"/>
      <c r="O10" s="65" t="n">
        <f aca="false">+G10/$G$29*$O$29</f>
        <v>29200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v>927072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27</v>
      </c>
      <c r="K11" s="92" t="n">
        <f aca="false">I11*J11</f>
        <v>843844.71168</v>
      </c>
      <c r="O11" s="65" t="n">
        <f aca="false">+G11/$G$29*$O$29</f>
        <v>34336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58164.59232</v>
      </c>
      <c r="H12" s="88"/>
      <c r="J12" s="27"/>
      <c r="K12" s="89"/>
      <c r="O12" s="65" t="n">
        <f aca="false">+G12/$G$29*$O$29</f>
        <v>2154.24416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257361.26976</v>
      </c>
      <c r="H13" s="93" t="s">
        <v>129</v>
      </c>
      <c r="I13" s="69"/>
      <c r="J13" s="94"/>
      <c r="K13" s="95" t="n">
        <f aca="false">K8+K11</f>
        <v>4756324.71168</v>
      </c>
      <c r="O13" s="65" t="n">
        <f aca="false">+G13/$G$29*$O$29</f>
        <v>9531.89888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436959.34272</v>
      </c>
      <c r="O14" s="65" t="n">
        <f aca="false">+G14/$G$29*$O$29</f>
        <v>16183.67936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5553.29088</v>
      </c>
      <c r="O15" s="65" t="n">
        <f aca="false">+G15/$G$29*$O$29</f>
        <v>205.67744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n">
        <f aca="false">+G16/$G$29*$O$29</f>
        <v>0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1627.44768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n">
        <f aca="false">+G17/$G$29*$O$29</f>
        <v>60.27584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16596.07488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n">
        <f aca="false">+G18/$G$29*$O$29</f>
        <v>614.66944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45225.94176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n">
        <f aca="false">+G19/$G$29*$O$29</f>
        <v>1675.03488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n">
        <f aca="false">+G20/$G$29*$O$29</f>
        <v>0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17080.56288</v>
      </c>
      <c r="H21" s="0" t="s">
        <v>151</v>
      </c>
      <c r="I21" s="50" t="n">
        <v>66000</v>
      </c>
      <c r="J21" s="0" t="n">
        <f aca="false">3+5+1</f>
        <v>9</v>
      </c>
      <c r="K21" s="0" t="n">
        <f aca="false">I21*J21</f>
        <v>594000</v>
      </c>
      <c r="O21" s="65" t="n">
        <f aca="false">+G21/$G$29*$O$29</f>
        <v>632.613440000001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5276.18880000001</v>
      </c>
      <c r="H22" s="0" t="s">
        <v>154</v>
      </c>
      <c r="I22" s="50" t="n">
        <v>97200</v>
      </c>
      <c r="J22" s="0" t="n">
        <v>2</v>
      </c>
      <c r="K22" s="0" t="n">
        <f aca="false">I22*J22</f>
        <v>194400</v>
      </c>
      <c r="O22" s="65" t="n">
        <f aca="false">+G22/$G$29*$O$29</f>
        <v>195.4144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4756324.71168</v>
      </c>
      <c r="H23" s="0" t="s">
        <v>157</v>
      </c>
      <c r="I23" s="50" t="n">
        <v>120000</v>
      </c>
      <c r="J23" s="0" t="n">
        <f aca="false">6+1+1</f>
        <v>8</v>
      </c>
      <c r="K23" s="0" t="n">
        <f aca="false">I23*J23</f>
        <v>960000</v>
      </c>
      <c r="O23" s="74" t="n">
        <f aca="false">SUM(O8:O22)</f>
        <v>176160.174506667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4</v>
      </c>
      <c r="K24" s="0" t="n">
        <f aca="false">I24*J24</f>
        <v>624000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16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f aca="false">1+1+1</f>
        <v>3</v>
      </c>
      <c r="K26" s="0" t="n">
        <f aca="false">I26*J26</f>
        <v>648000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11</v>
      </c>
      <c r="H27" s="0" t="s">
        <v>220</v>
      </c>
      <c r="I27" s="50" t="n">
        <v>240000</v>
      </c>
      <c r="J27" s="0" t="n">
        <v>1</v>
      </c>
      <c r="K27" s="0" t="n">
        <f aca="false">I27*J27</f>
        <v>240000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27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27</v>
      </c>
      <c r="K34" s="80" t="n">
        <f aca="false">+I34*J34</f>
        <v>843844.71168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50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51" t="str">
        <f aca="false">'[10]Team Report'!B1</f>
        <v>Enron North America</v>
      </c>
      <c r="C1" s="51"/>
      <c r="D1" s="51"/>
      <c r="E1" s="51"/>
      <c r="F1" s="51"/>
      <c r="G1" s="51"/>
      <c r="H1" s="53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322</v>
      </c>
      <c r="C2" s="51"/>
      <c r="D2" s="51"/>
      <c r="E2" s="51"/>
      <c r="F2" s="51"/>
      <c r="G2" s="51"/>
      <c r="H2" s="53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5"/>
      <c r="I3" s="5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H4" s="85"/>
      <c r="I4" s="57"/>
      <c r="J4" s="86"/>
      <c r="K4" s="87"/>
    </row>
    <row r="5" customFormat="false" ht="12.75" hidden="false" customHeight="false" outlineLevel="0" collapsed="false">
      <c r="H5" s="88"/>
      <c r="I5" s="50" t="s">
        <v>109</v>
      </c>
      <c r="J5" s="27" t="s">
        <v>110</v>
      </c>
      <c r="K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114</v>
      </c>
      <c r="G6" s="61" t="s">
        <v>114</v>
      </c>
      <c r="H6" s="88"/>
      <c r="J6" s="27"/>
      <c r="K6" s="89"/>
      <c r="O6" s="101" t="n">
        <v>2002</v>
      </c>
      <c r="AK6" s="10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118</v>
      </c>
      <c r="H7" s="88"/>
      <c r="J7" s="27"/>
      <c r="K7" s="89"/>
      <c r="O7" s="62" t="s">
        <v>118</v>
      </c>
      <c r="AK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+'[11]Natural Gas'!C8+[11]Ontario!C8+[11]Finance!C8+[11]Executive!C8+[11]Alberta!C8</f>
        <v>2855922.03</v>
      </c>
      <c r="E8" s="65" t="n">
        <f aca="false">+'[11]Natural Gas'!E8+[11]Ontario!E8+[11]Finance!E8+[11]Executive!E8+[11]Alberta!E8</f>
        <v>3807896.04</v>
      </c>
      <c r="G8" s="65" t="n">
        <f aca="false">K28-G11-G10</f>
        <v>0</v>
      </c>
      <c r="H8" s="88" t="s">
        <v>120</v>
      </c>
      <c r="I8" s="50" t="n">
        <v>0</v>
      </c>
      <c r="J8" s="27"/>
      <c r="K8" s="92" t="n">
        <f aca="false">K28</f>
        <v>0</v>
      </c>
      <c r="O8" s="65" t="e">
        <f aca="false">+G8/$G$29*$O$29</f>
        <v>#DIV/0!</v>
      </c>
      <c r="AK8" s="65"/>
    </row>
    <row r="9" customFormat="false" ht="12.75" hidden="false" customHeight="false" outlineLevel="0" collapsed="false">
      <c r="A9" s="63"/>
      <c r="B9" s="64" t="s">
        <v>121</v>
      </c>
      <c r="C9" s="65" t="n">
        <f aca="false">+'[11]Natural Gas'!C9+[11]Ontario!C9+[11]Finance!C9+[11]Executive!C9+[11]Alberta!C9</f>
        <v>0</v>
      </c>
      <c r="E9" s="65" t="n">
        <f aca="false">+'[11]Natural Gas'!E9+[11]Ontario!E9+[11]Finance!E9+[11]Executive!E9+[11]Alberta!E9</f>
        <v>0</v>
      </c>
      <c r="G9" s="65" t="n">
        <v>0</v>
      </c>
      <c r="H9" s="88"/>
      <c r="J9" s="27"/>
      <c r="K9" s="89"/>
      <c r="O9" s="65" t="e">
        <f aca="false">+G9/$G$29*$O$29</f>
        <v>#DIV/0!</v>
      </c>
      <c r="AK9" s="65"/>
    </row>
    <row r="10" customFormat="false" ht="12.75" hidden="false" customHeight="false" outlineLevel="0" collapsed="false">
      <c r="A10" s="63"/>
      <c r="B10" s="64" t="s">
        <v>219</v>
      </c>
      <c r="C10" s="65" t="n">
        <v>0</v>
      </c>
      <c r="E10" s="65" t="n">
        <v>0</v>
      </c>
      <c r="G10" s="65" t="n">
        <f aca="false">K22+K21</f>
        <v>0</v>
      </c>
      <c r="H10" s="88"/>
      <c r="J10" s="27"/>
      <c r="K10" s="89"/>
      <c r="O10" s="65" t="e">
        <f aca="false">+G10/$G$29*$O$29</f>
        <v>#DIV/0!</v>
      </c>
      <c r="AK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+'[11]Natural Gas'!C11+[11]Ontario!C11+[11]Finance!C11+[11]Executive!C10+[11]Alberta!C11</f>
        <v>312682.37</v>
      </c>
      <c r="E11" s="65" t="n">
        <f aca="false">+'[11]Natural Gas'!E11+[11]Ontario!E11+[11]Finance!E11+[11]Executive!E10+[11]Alberta!E11</f>
        <v>416909.826666667</v>
      </c>
      <c r="G11" s="65" t="n">
        <v>0</v>
      </c>
      <c r="H11" s="88" t="s">
        <v>83</v>
      </c>
      <c r="I11" s="80" t="n">
        <f aca="false">(E12+E13+E14+E15+E16+E17+E18+E19+E20+E21+E22)/E29</f>
        <v>31253.50784</v>
      </c>
      <c r="J11" s="27" t="n">
        <f aca="false">J28</f>
        <v>0</v>
      </c>
      <c r="K11" s="92" t="n">
        <f aca="false">I11*J11</f>
        <v>0</v>
      </c>
      <c r="O11" s="65" t="e">
        <f aca="false">+G11/$G$29*$O$29</f>
        <v>#DIV/0!</v>
      </c>
      <c r="AK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+'[11]Natural Gas'!C12+[11]Ontario!C12+[11]Finance!C12+[11]Executive!C12+[11]Alberta!C12</f>
        <v>67320.13</v>
      </c>
      <c r="E12" s="67" t="n">
        <f aca="false">(+'[11]Natural Gas'!E12+[11]Ontario!E12+[11]Finance!E12+[11]Executive!E12+[11]Alberta!E12)*1.2</f>
        <v>107712.208</v>
      </c>
      <c r="G12" s="65" t="n">
        <f aca="false">(E12/$E$29)*$G$29</f>
        <v>0</v>
      </c>
      <c r="H12" s="88"/>
      <c r="J12" s="27"/>
      <c r="K12" s="89"/>
      <c r="O12" s="65" t="e">
        <f aca="false">+G12/$G$29*$O$29</f>
        <v>#DIV/0!</v>
      </c>
      <c r="AK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+'[11]Natural Gas'!C13+[11]Ontario!C13+[11]Finance!C13+[11]Executive!C13+[11]Alberta!C13</f>
        <v>297871.84</v>
      </c>
      <c r="E13" s="67" t="n">
        <f aca="false">(+'[11]Natural Gas'!E13+[11]Ontario!E13+[11]Finance!E13+[11]Executive!E13+[11]Alberta!E13)*1.2</f>
        <v>476594.944</v>
      </c>
      <c r="G13" s="65" t="n">
        <f aca="false">(E13/$E$29)*$G$29</f>
        <v>0</v>
      </c>
      <c r="H13" s="93" t="s">
        <v>129</v>
      </c>
      <c r="I13" s="69"/>
      <c r="J13" s="94"/>
      <c r="K13" s="95" t="n">
        <f aca="false">K8+K11</f>
        <v>0</v>
      </c>
      <c r="O13" s="65" t="e">
        <f aca="false">+G13/$G$29*$O$29</f>
        <v>#DIV/0!</v>
      </c>
      <c r="AK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+'[11]Natural Gas'!C14+[11]Ontario!C14+[11]Finance!C14+[11]Executive!C14+[11]Alberta!C14</f>
        <v>505739.98</v>
      </c>
      <c r="E14" s="67" t="n">
        <f aca="false">(+'[11]Natural Gas'!E14+[11]Ontario!E14+[11]Finance!E14+[11]Executive!E14+[11]Alberta!E14)*1.2</f>
        <v>809183.968</v>
      </c>
      <c r="G14" s="65" t="n">
        <f aca="false">(E14/$E$29)*$G$29</f>
        <v>0</v>
      </c>
      <c r="O14" s="65" t="e">
        <f aca="false">+G14/$G$29*$O$29</f>
        <v>#DIV/0!</v>
      </c>
      <c r="AK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+'[11]Natural Gas'!C15+[11]Ontario!C15+[11]Finance!C15+[11]Executive!C15+[11]Alberta!C15</f>
        <v>6427.42</v>
      </c>
      <c r="E15" s="67" t="n">
        <f aca="false">(+'[11]Natural Gas'!E15+[11]Ontario!E15+[11]Finance!E15+[11]Executive!E15+[11]Alberta!E15)*1.2</f>
        <v>10283.872</v>
      </c>
      <c r="G15" s="65" t="n">
        <f aca="false">(E15/$E$29)*$G$29</f>
        <v>0</v>
      </c>
      <c r="O15" s="65" t="e">
        <f aca="false">+G15/$G$29*$O$29</f>
        <v>#DIV/0!</v>
      </c>
      <c r="AK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+'[11]Natural Gas'!C16+[11]Ontario!C16+[11]Finance!C16+[11]Executive!C16+[11]Alberta!C16</f>
        <v>0</v>
      </c>
      <c r="E16" s="67" t="n">
        <f aca="false">(+'[11]Natural Gas'!E16+[11]Ontario!E16+[11]Finance!E16+[11]Executive!E16+[11]Alberta!E16)*1.2</f>
        <v>0</v>
      </c>
      <c r="G16" s="65" t="n">
        <f aca="false">(E16/$E$29)*$G$29</f>
        <v>0</v>
      </c>
      <c r="H16" s="0" t="s">
        <v>193</v>
      </c>
      <c r="I16" s="50" t="n">
        <v>33600</v>
      </c>
      <c r="J16" s="0" t="n">
        <v>0</v>
      </c>
      <c r="K16" s="0" t="n">
        <f aca="false">I16*J16</f>
        <v>0</v>
      </c>
      <c r="O16" s="65" t="e">
        <f aca="false">+G16/$G$29*$O$29</f>
        <v>#DIV/0!</v>
      </c>
      <c r="AK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+'[11]Natural Gas'!C17+[11]Ontario!C17+[11]Finance!C17+[11]Executive!C17+[11]Alberta!C17</f>
        <v>1883.62</v>
      </c>
      <c r="E17" s="67" t="n">
        <f aca="false">(+'[11]Natural Gas'!E17+[11]Ontario!E17+[11]Finance!E17+[11]Executive!E17+[11]Alberta!E17)*1.2</f>
        <v>3013.792</v>
      </c>
      <c r="G17" s="65" t="n">
        <f aca="false">(E17/$E$29)*$G$29</f>
        <v>0</v>
      </c>
      <c r="H17" s="0" t="s">
        <v>139</v>
      </c>
      <c r="I17" s="50" t="n">
        <v>52800</v>
      </c>
      <c r="J17" s="0" t="n">
        <v>0</v>
      </c>
      <c r="K17" s="0" t="n">
        <f aca="false">I17*J17</f>
        <v>0</v>
      </c>
      <c r="O17" s="65" t="e">
        <f aca="false">+G17/$G$29*$O$29</f>
        <v>#DIV/0!</v>
      </c>
      <c r="AK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+'[11]Natural Gas'!C18+[11]Ontario!C18+[11]Finance!C18+[11]Executive!C18+[11]Alberta!C18</f>
        <v>19208.42</v>
      </c>
      <c r="E18" s="67" t="n">
        <f aca="false">(+'[11]Natural Gas'!E18+[11]Ontario!E18+[11]Finance!E18+[11]Executive!E18+[11]Alberta!E18)*1.2</f>
        <v>30733.472</v>
      </c>
      <c r="G18" s="65" t="n">
        <f aca="false">(E18/$E$29)*$G$29</f>
        <v>0</v>
      </c>
      <c r="H18" s="0" t="s">
        <v>142</v>
      </c>
      <c r="I18" s="50" t="n">
        <v>54000</v>
      </c>
      <c r="J18" s="0" t="n">
        <v>0</v>
      </c>
      <c r="K18" s="0" t="n">
        <f aca="false">I18*J18</f>
        <v>0</v>
      </c>
      <c r="O18" s="65" t="e">
        <f aca="false">+G18/$G$29*$O$29</f>
        <v>#DIV/0!</v>
      </c>
      <c r="AK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+'[11]Natural Gas'!C19+[11]Ontario!C19+[11]Finance!C19+[11]Executive!C19+[11]Alberta!C19</f>
        <v>52344.84</v>
      </c>
      <c r="E19" s="67" t="n">
        <f aca="false">(+'[11]Natural Gas'!E19+[11]Ontario!E19+[11]Finance!E19+[11]Executive!E19+[11]Alberta!E19)*1.2</f>
        <v>83751.744</v>
      </c>
      <c r="G19" s="65" t="n">
        <f aca="false">(E19/$E$29)*$G$29</f>
        <v>0</v>
      </c>
      <c r="H19" s="0" t="s">
        <v>145</v>
      </c>
      <c r="I19" s="50" t="n">
        <v>63000</v>
      </c>
      <c r="J19" s="0" t="n">
        <v>0</v>
      </c>
      <c r="K19" s="0" t="n">
        <f aca="false">I19*J19</f>
        <v>0</v>
      </c>
      <c r="O19" s="65" t="e">
        <f aca="false">+G19/$G$29*$O$29</f>
        <v>#DIV/0!</v>
      </c>
      <c r="AK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+'[11]Natural Gas'!C20+[11]Ontario!C20+[11]Finance!C20+[11]Executive!C20+[11]Alberta!C20</f>
        <v>0</v>
      </c>
      <c r="E20" s="67" t="n">
        <f aca="false">(+'[11]Natural Gas'!E20+[11]Ontario!E20+[11]Finance!E20+[11]Executive!E20+[11]Alberta!E20)*1.2</f>
        <v>0</v>
      </c>
      <c r="G20" s="65" t="n">
        <f aca="false">(E20/$E$29)*$G$29</f>
        <v>0</v>
      </c>
      <c r="H20" s="0" t="s">
        <v>148</v>
      </c>
      <c r="I20" s="50" t="n">
        <v>78000</v>
      </c>
      <c r="J20" s="0" t="n">
        <v>0</v>
      </c>
      <c r="K20" s="0" t="n">
        <f aca="false">I20*J20</f>
        <v>0</v>
      </c>
      <c r="O20" s="65" t="e">
        <f aca="false">+G20/$G$29*$O$29</f>
        <v>#DIV/0!</v>
      </c>
      <c r="AK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+'[11]Natural Gas'!C21+[11]Ontario!C21+[11]Finance!C21+[11]Executive!C21+[11]Alberta!C21</f>
        <v>19769.17</v>
      </c>
      <c r="E21" s="67" t="n">
        <f aca="false">(+'[11]Natural Gas'!E21+[11]Ontario!E21+[11]Finance!E21+[11]Executive!E21+[11]Alberta!E21)*1.2</f>
        <v>31630.6720000001</v>
      </c>
      <c r="G21" s="65" t="n">
        <f aca="false">(E21/$E$29)*$G$29</f>
        <v>0</v>
      </c>
      <c r="H21" s="0" t="s">
        <v>151</v>
      </c>
      <c r="I21" s="50" t="n">
        <v>66000</v>
      </c>
      <c r="J21" s="0" t="n">
        <v>0</v>
      </c>
      <c r="K21" s="0" t="n">
        <f aca="false">I21*J21</f>
        <v>0</v>
      </c>
      <c r="O21" s="65" t="e">
        <f aca="false">+G21/$G$29*$O$29</f>
        <v>#DIV/0!</v>
      </c>
      <c r="AK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+'[11]Natural Gas'!C22+[11]Ontario!C22+[11]Finance!C22+[11]Executive!C22+[11]Alberta!C22</f>
        <v>6106.70000000001</v>
      </c>
      <c r="E22" s="67" t="n">
        <f aca="false">(+'[11]Natural Gas'!E22+[11]Ontario!E22+[11]Finance!E22+[11]Executive!E22+[11]Alberta!E22)*1.2</f>
        <v>9770.72000000001</v>
      </c>
      <c r="G22" s="65" t="n">
        <f aca="false">(E22/$E$29)*$G$29</f>
        <v>0</v>
      </c>
      <c r="H22" s="0" t="s">
        <v>154</v>
      </c>
      <c r="I22" s="50" t="n">
        <v>97200</v>
      </c>
      <c r="J22" s="0" t="n">
        <v>0</v>
      </c>
      <c r="K22" s="0" t="n">
        <f aca="false">I22*J22</f>
        <v>0</v>
      </c>
      <c r="O22" s="65" t="e">
        <f aca="false">+G22/$G$29*$O$29</f>
        <v>#DIV/0!</v>
      </c>
      <c r="AK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0</v>
      </c>
      <c r="H23" s="0" t="s">
        <v>157</v>
      </c>
      <c r="I23" s="50" t="n">
        <v>120000</v>
      </c>
      <c r="J23" s="0" t="n">
        <v>0</v>
      </c>
      <c r="K23" s="0" t="n">
        <f aca="false">I23*J23</f>
        <v>0</v>
      </c>
      <c r="O23" s="74" t="e">
        <f aca="false">SUM(O8:O22)</f>
        <v>#DIV/0!</v>
      </c>
      <c r="AK23" s="76"/>
    </row>
    <row r="24" customFormat="false" ht="12.75" hidden="false" customHeight="false" outlineLevel="0" collapsed="false">
      <c r="H24" s="0" t="s">
        <v>158</v>
      </c>
      <c r="I24" s="50" t="n">
        <v>156000</v>
      </c>
      <c r="J24" s="0" t="n">
        <v>0</v>
      </c>
      <c r="K24" s="0" t="n">
        <f aca="false">I24*J24</f>
        <v>0</v>
      </c>
      <c r="AK24" s="27"/>
    </row>
    <row r="25" customFormat="false" ht="12.75" hidden="false" customHeight="false" outlineLevel="0" collapsed="false">
      <c r="B25" s="73" t="s">
        <v>7</v>
      </c>
      <c r="C25" s="3"/>
      <c r="E25" s="102" t="n">
        <f aca="false">+'[11]Natural Gas'!E25+[11]Ontario!E25+[11]Finance!E25+[11]Executive!E25+[11]Alberta!E25</f>
        <v>30</v>
      </c>
      <c r="G25" s="102" t="n">
        <f aca="false">SUM(J16:J20,J23:J27)</f>
        <v>0</v>
      </c>
      <c r="H25" s="0" t="s">
        <v>159</v>
      </c>
      <c r="I25" s="50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5"/>
    </row>
    <row r="26" customFormat="false" ht="12.75" hidden="false" customHeight="false" outlineLevel="0" collapsed="false">
      <c r="C26" s="65"/>
      <c r="E26" s="64"/>
      <c r="G26" s="64"/>
      <c r="H26" s="0" t="s">
        <v>160</v>
      </c>
      <c r="I26" s="50" t="n">
        <v>216000</v>
      </c>
      <c r="J26" s="0" t="n">
        <v>0</v>
      </c>
      <c r="K26" s="0" t="n">
        <f aca="false">I26*J26</f>
        <v>0</v>
      </c>
      <c r="O26" s="65"/>
      <c r="AK26" s="65"/>
    </row>
    <row r="27" customFormat="false" ht="12.75" hidden="false" customHeight="false" outlineLevel="0" collapsed="false">
      <c r="B27" s="73" t="s">
        <v>194</v>
      </c>
      <c r="C27" s="65"/>
      <c r="E27" s="102" t="n">
        <f aca="false">+'[11]Natural Gas'!E27+[11]Ontario!E27+[11]Finance!E27+[11]Executive!E27+[11]Alberta!E27</f>
        <v>20</v>
      </c>
      <c r="G27" s="102" t="n">
        <f aca="false">SUM(J21:J22)</f>
        <v>0</v>
      </c>
      <c r="H27" s="0" t="s">
        <v>220</v>
      </c>
      <c r="I27" s="50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5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50</v>
      </c>
      <c r="F29" s="65"/>
      <c r="G29" s="77" t="n">
        <f aca="false">+G27+G25</f>
        <v>0</v>
      </c>
      <c r="H29" s="71"/>
      <c r="O29" s="77" t="n">
        <v>1</v>
      </c>
      <c r="AK29" s="65"/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222</v>
      </c>
      <c r="C31" s="65"/>
      <c r="E31" s="65"/>
      <c r="G31" s="17" t="s">
        <v>164</v>
      </c>
      <c r="H31" s="50"/>
      <c r="J31" s="50"/>
    </row>
    <row r="32" customFormat="false" ht="12.75" hidden="true" customHeight="false" outlineLevel="0" collapsed="false">
      <c r="A32" s="63" t="s">
        <v>223</v>
      </c>
      <c r="B32" s="64"/>
      <c r="C32" s="65"/>
      <c r="E32" s="65"/>
      <c r="H32" s="50"/>
      <c r="J32" s="50"/>
    </row>
    <row r="33" customFormat="false" ht="12.75" hidden="true" customHeight="false" outlineLevel="0" collapsed="false">
      <c r="A33" s="63" t="s">
        <v>224</v>
      </c>
      <c r="B33" s="64"/>
      <c r="C33" s="65"/>
      <c r="E33" s="65"/>
      <c r="G33" s="79" t="s">
        <v>165</v>
      </c>
      <c r="H33" s="80" t="s">
        <v>166</v>
      </c>
      <c r="I33" s="80" t="s">
        <v>167</v>
      </c>
      <c r="J33" s="80" t="s">
        <v>110</v>
      </c>
      <c r="K33" s="80" t="s">
        <v>168</v>
      </c>
    </row>
    <row r="34" customFormat="false" ht="12.75" hidden="true" customHeight="false" outlineLevel="0" collapsed="false">
      <c r="A34" s="63" t="s">
        <v>225</v>
      </c>
      <c r="B34" s="64"/>
      <c r="C34" s="65"/>
      <c r="E34" s="65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0</v>
      </c>
      <c r="K34" s="80" t="n">
        <f aca="false">+I34*J34</f>
        <v>0</v>
      </c>
    </row>
    <row r="35" customFormat="false" ht="12.75" hidden="true" customHeight="false" outlineLevel="0" collapsed="false">
      <c r="A35" s="63" t="s">
        <v>226</v>
      </c>
      <c r="B35" s="64"/>
      <c r="C35" s="65"/>
      <c r="E35" s="65"/>
    </row>
    <row r="36" customFormat="false" ht="12.75" hidden="true" customHeight="false" outlineLevel="0" collapsed="false">
      <c r="A36" s="63" t="s">
        <v>227</v>
      </c>
      <c r="B36" s="64"/>
      <c r="C36" s="65"/>
      <c r="E36" s="65"/>
    </row>
    <row r="37" customFormat="false" ht="12.75" hidden="true" customHeight="false" outlineLevel="0" collapsed="false">
      <c r="A37" s="63" t="s">
        <v>228</v>
      </c>
      <c r="B37" s="64"/>
      <c r="C37" s="65"/>
      <c r="E37" s="65"/>
    </row>
    <row r="38" customFormat="false" ht="12.75" hidden="true" customHeight="false" outlineLevel="0" collapsed="false">
      <c r="A38" s="63" t="s">
        <v>229</v>
      </c>
      <c r="B38" s="64"/>
      <c r="C38" s="65"/>
      <c r="E38" s="65"/>
    </row>
    <row r="39" customFormat="false" ht="12.75" hidden="true" customHeight="false" outlineLevel="0" collapsed="false">
      <c r="B39" s="64"/>
      <c r="C39" s="65"/>
      <c r="E39" s="65"/>
    </row>
    <row r="40" customFormat="false" ht="12.75" hidden="true" customHeight="false" outlineLevel="0" collapsed="false">
      <c r="B40" s="64"/>
      <c r="C40" s="65"/>
      <c r="E40" s="65"/>
    </row>
    <row r="41" customFormat="false" ht="12.75" hidden="true" customHeight="false" outlineLevel="0" collapsed="false">
      <c r="B41" s="64"/>
      <c r="C41" s="65"/>
      <c r="E41" s="65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51" t="str">
        <f aca="false">'[26]Team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3"/>
      <c r="L1" s="53"/>
      <c r="M1" s="53"/>
    </row>
    <row r="2" customFormat="false" ht="18" hidden="false" customHeight="false" outlineLevel="0" collapsed="false">
      <c r="B2" s="51" t="s">
        <v>323</v>
      </c>
      <c r="C2" s="51"/>
      <c r="D2" s="51"/>
      <c r="E2" s="51"/>
      <c r="F2" s="51"/>
      <c r="G2" s="51"/>
      <c r="H2" s="53"/>
      <c r="I2" s="53"/>
      <c r="J2" s="53"/>
      <c r="K2" s="53"/>
      <c r="L2" s="53"/>
      <c r="M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5"/>
      <c r="I3" s="55"/>
      <c r="J3" s="55"/>
      <c r="K3" s="55"/>
      <c r="L3" s="55"/>
      <c r="M3" s="55"/>
    </row>
    <row r="4" customFormat="false" ht="13.5" hidden="false" customHeight="false" outlineLevel="0" collapsed="false"/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J6" s="88"/>
      <c r="K6" s="80" t="s">
        <v>109</v>
      </c>
      <c r="L6" s="80" t="s">
        <v>110</v>
      </c>
      <c r="M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17"/>
      <c r="J7" s="88"/>
      <c r="K7" s="50"/>
      <c r="L7" s="50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'[26]Team Report'!BA25</f>
        <v>17469588.96</v>
      </c>
      <c r="E8" s="65" t="n">
        <f aca="false">+C8/9*12</f>
        <v>23292785.28</v>
      </c>
      <c r="F8" s="65"/>
      <c r="G8" s="65" t="n">
        <f aca="false">SUM(M17:M28)</f>
        <v>1776000</v>
      </c>
      <c r="J8" s="88"/>
      <c r="K8" s="50"/>
      <c r="L8" s="50"/>
      <c r="M8" s="60"/>
      <c r="O8" s="65" t="n">
        <f aca="false">+G8/$G$29*$O$29</f>
        <v>148000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+C9/9*12</f>
        <v>0</v>
      </c>
      <c r="F9" s="65"/>
      <c r="G9" s="65" t="n">
        <f aca="false">+E9/9*12</f>
        <v>0</v>
      </c>
      <c r="J9" s="88" t="s">
        <v>120</v>
      </c>
      <c r="K9" s="50" t="n">
        <v>0</v>
      </c>
      <c r="L9" s="50" t="n">
        <f aca="false">+L29</f>
        <v>12</v>
      </c>
      <c r="M9" s="60" t="n">
        <f aca="false">M35</f>
        <v>2131200</v>
      </c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v>0</v>
      </c>
      <c r="E10" s="65" t="n">
        <f aca="false">+C10/9*12</f>
        <v>0</v>
      </c>
      <c r="F10" s="65"/>
      <c r="G10" s="65" t="n">
        <f aca="false">+E10/9*12</f>
        <v>0</v>
      </c>
      <c r="J10" s="88"/>
      <c r="K10" s="50"/>
      <c r="L10" s="50"/>
      <c r="M10" s="60"/>
      <c r="O10" s="65" t="n">
        <f aca="false">+G10/$G$29*$O$29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'[26]Team Report'!BA26</f>
        <v>1272399.64</v>
      </c>
      <c r="E11" s="65" t="n">
        <f aca="false">+C11/9*12</f>
        <v>1696532.85333333</v>
      </c>
      <c r="F11" s="65"/>
      <c r="G11" s="65" t="n">
        <f aca="false">+G8*0.2</f>
        <v>355200</v>
      </c>
      <c r="J11" s="88"/>
      <c r="K11" s="50"/>
      <c r="L11" s="50"/>
      <c r="M11" s="60"/>
      <c r="O11" s="65" t="n">
        <f aca="false">+G11/$G$29*$O$29</f>
        <v>29600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'[26]Team Report'!BA27</f>
        <v>141777.57</v>
      </c>
      <c r="E12" s="65" t="n">
        <f aca="false">+C12/9*12</f>
        <v>189036.76</v>
      </c>
      <c r="F12" s="65"/>
      <c r="G12" s="65" t="n">
        <f aca="false">+$M$12*0.25</f>
        <v>66582</v>
      </c>
      <c r="J12" s="88" t="s">
        <v>83</v>
      </c>
      <c r="K12" s="50" t="n">
        <f aca="false">18495*1.2</f>
        <v>22194</v>
      </c>
      <c r="L12" s="50" t="n">
        <v>12</v>
      </c>
      <c r="M12" s="60" t="n">
        <f aca="false">K12*L12</f>
        <v>266328</v>
      </c>
      <c r="O12" s="65" t="n">
        <f aca="false">+G12/$G$29*$O$29</f>
        <v>5548.5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'[26]Team Report'!BA28</f>
        <v>100051.51</v>
      </c>
      <c r="E13" s="65" t="n">
        <f aca="false">+C13/9*12</f>
        <v>133402.013333333</v>
      </c>
      <c r="F13" s="65"/>
      <c r="G13" s="65" t="n">
        <f aca="false">+$M$12*0.13</f>
        <v>34622.64</v>
      </c>
      <c r="J13" s="88"/>
      <c r="K13" s="50"/>
      <c r="L13" s="50"/>
      <c r="M13" s="60"/>
      <c r="O13" s="65" t="n">
        <f aca="false">+G13/$G$29*$O$29</f>
        <v>2885.22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f aca="false">'[26]Team Report'!BA32</f>
        <v>13823042.72</v>
      </c>
      <c r="E14" s="65" t="n">
        <f aca="false">+C14/9*12</f>
        <v>18430723.6266667</v>
      </c>
      <c r="F14" s="65"/>
      <c r="G14" s="65" t="n">
        <f aca="false">+$M$12*0.2</f>
        <v>53265.6</v>
      </c>
      <c r="J14" s="93" t="s">
        <v>129</v>
      </c>
      <c r="K14" s="69"/>
      <c r="L14" s="69"/>
      <c r="M14" s="70" t="n">
        <f aca="false">SUM(M9:M12)</f>
        <v>2397528</v>
      </c>
      <c r="O14" s="65" t="n">
        <f aca="false">+G14/$G$29*$O$29</f>
        <v>4438.8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'[26]Team Report'!BA33</f>
        <v>7559.43</v>
      </c>
      <c r="E15" s="65" t="n">
        <f aca="false">+C15/9*12</f>
        <v>10079.24</v>
      </c>
      <c r="F15" s="65"/>
      <c r="G15" s="65" t="n">
        <f aca="false">+$M$12*0.08</f>
        <v>21306.24</v>
      </c>
      <c r="J15" s="27"/>
      <c r="K15" s="50"/>
      <c r="L15" s="50"/>
      <c r="M15" s="50"/>
      <c r="O15" s="65" t="n">
        <f aca="false">+G15/$G$29*$O$29</f>
        <v>1775.52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'[26]Team Report'!BA34</f>
        <v>0</v>
      </c>
      <c r="E16" s="65" t="n">
        <f aca="false">+C16/9*12</f>
        <v>0</v>
      </c>
      <c r="F16" s="65"/>
      <c r="G16" s="65" t="n">
        <v>0</v>
      </c>
      <c r="J16" s="27"/>
      <c r="K16" s="50"/>
      <c r="L16" s="108"/>
      <c r="M16" s="50"/>
      <c r="O16" s="65" t="n">
        <f aca="false">+G16/$G$29*$O$29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'[26]Team Report'!BA35</f>
        <v>0</v>
      </c>
      <c r="E17" s="65" t="n">
        <f aca="false">+C17/9*12</f>
        <v>0</v>
      </c>
      <c r="F17" s="65"/>
      <c r="G17" s="65" t="n">
        <v>0</v>
      </c>
      <c r="J17" s="0" t="s">
        <v>193</v>
      </c>
      <c r="K17" s="50" t="n">
        <v>49200</v>
      </c>
      <c r="L17" s="50" t="n">
        <v>0</v>
      </c>
      <c r="M17" s="50" t="n">
        <f aca="false">K17*L17</f>
        <v>0</v>
      </c>
      <c r="O17" s="65" t="n">
        <f aca="false">+G17/$G$29*$O$29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'[26]Team Report'!BA36</f>
        <v>91694.45</v>
      </c>
      <c r="E18" s="65" t="n">
        <f aca="false">+C18/9*12</f>
        <v>122259.266666667</v>
      </c>
      <c r="F18" s="65"/>
      <c r="G18" s="65" t="n">
        <v>0</v>
      </c>
      <c r="J18" s="0" t="s">
        <v>139</v>
      </c>
      <c r="K18" s="50" t="n">
        <v>57600</v>
      </c>
      <c r="L18" s="50" t="n">
        <v>0</v>
      </c>
      <c r="M18" s="50" t="n">
        <f aca="false">K18*L18</f>
        <v>0</v>
      </c>
      <c r="O18" s="65" t="n">
        <f aca="false">+G18/$G$29*$O$29</f>
        <v>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'[26]Team Report'!BA37</f>
        <v>-7331217.46</v>
      </c>
      <c r="E19" s="65" t="n">
        <f aca="false">+C19/9*12</f>
        <v>-9774956.61333334</v>
      </c>
      <c r="F19" s="65"/>
      <c r="G19" s="65" t="n">
        <f aca="false">+$M$12*0.19</f>
        <v>50602.32</v>
      </c>
      <c r="J19" s="0" t="s">
        <v>142</v>
      </c>
      <c r="K19" s="50" t="n">
        <v>60000</v>
      </c>
      <c r="L19" s="50" t="n">
        <v>0</v>
      </c>
      <c r="M19" s="50" t="n">
        <f aca="false">K19*L19</f>
        <v>0</v>
      </c>
      <c r="O19" s="65" t="n">
        <f aca="false">+G19/$G$29*$O$29</f>
        <v>4216.86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'[26]Team Report'!BA38</f>
        <v>0</v>
      </c>
      <c r="E20" s="65" t="n">
        <f aca="false">+C20/9*12</f>
        <v>0</v>
      </c>
      <c r="F20" s="65"/>
      <c r="G20" s="65" t="n">
        <v>0</v>
      </c>
      <c r="J20" s="0" t="s">
        <v>145</v>
      </c>
      <c r="K20" s="50" t="n">
        <v>78000</v>
      </c>
      <c r="L20" s="50" t="n">
        <v>2</v>
      </c>
      <c r="M20" s="50" t="n">
        <f aca="false">K20*L20</f>
        <v>156000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'[26]Team Report'!BA42</f>
        <v>24774212.69</v>
      </c>
      <c r="E21" s="65" t="n">
        <f aca="false">+C21/9*12</f>
        <v>33032283.5866667</v>
      </c>
      <c r="F21" s="65"/>
      <c r="G21" s="65" t="n">
        <f aca="false">+$M$12*0.15</f>
        <v>39949.2</v>
      </c>
      <c r="J21" s="0" t="s">
        <v>148</v>
      </c>
      <c r="K21" s="50" t="n">
        <v>102000</v>
      </c>
      <c r="L21" s="50" t="n">
        <v>2</v>
      </c>
      <c r="M21" s="50" t="n">
        <f aca="false">K21*L21</f>
        <v>204000</v>
      </c>
      <c r="O21" s="65" t="n">
        <f aca="false">+G21/$G$29*$O$29</f>
        <v>3329.1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'[26]Team Report'!BA44</f>
        <v>16.6</v>
      </c>
      <c r="E22" s="65" t="n">
        <f aca="false">+C22/9*12</f>
        <v>22.1333333333333</v>
      </c>
      <c r="F22" s="65"/>
      <c r="G22" s="65" t="n">
        <v>0</v>
      </c>
      <c r="J22" s="0" t="s">
        <v>151</v>
      </c>
      <c r="K22" s="50" t="n">
        <v>0</v>
      </c>
      <c r="L22" s="50" t="n">
        <v>0</v>
      </c>
      <c r="M22" s="50" t="n">
        <f aca="false">K22*L22</f>
        <v>0</v>
      </c>
      <c r="O22" s="65" t="n">
        <f aca="false">+G22/$G$29*$O$29</f>
        <v>0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50349126.11</v>
      </c>
      <c r="E23" s="74" t="n">
        <f aca="false">SUM(E8:E22)</f>
        <v>67132168.1466667</v>
      </c>
      <c r="F23" s="76"/>
      <c r="G23" s="74" t="n">
        <f aca="false">SUM(G8:G22)</f>
        <v>2397528</v>
      </c>
      <c r="J23" s="0" t="s">
        <v>154</v>
      </c>
      <c r="K23" s="50" t="n">
        <v>0</v>
      </c>
      <c r="L23" s="50" t="n">
        <v>0</v>
      </c>
      <c r="M23" s="50" t="n">
        <f aca="false">K23*L23</f>
        <v>0</v>
      </c>
      <c r="O23" s="74" t="n">
        <f aca="false">SUM(O8:O22)</f>
        <v>199794</v>
      </c>
    </row>
    <row r="24" customFormat="false" ht="12.75" hidden="false" customHeight="false" outlineLevel="0" collapsed="false">
      <c r="J24" s="0" t="s">
        <v>157</v>
      </c>
      <c r="K24" s="50" t="n">
        <v>144000</v>
      </c>
      <c r="L24" s="50" t="n">
        <v>3</v>
      </c>
      <c r="M24" s="50" t="n">
        <f aca="false">K24*L24</f>
        <v>432000</v>
      </c>
    </row>
    <row r="25" customFormat="false" ht="12.75" hidden="false" customHeight="false" outlineLevel="0" collapsed="false">
      <c r="B25" s="73" t="s">
        <v>7</v>
      </c>
      <c r="C25" s="65"/>
      <c r="E25" s="77" t="n">
        <v>111</v>
      </c>
      <c r="F25" s="65"/>
      <c r="G25" s="77" t="n">
        <v>12</v>
      </c>
      <c r="J25" s="0" t="s">
        <v>158</v>
      </c>
      <c r="K25" s="50" t="n">
        <v>168000</v>
      </c>
      <c r="L25" s="50" t="n">
        <v>2</v>
      </c>
      <c r="M25" s="50" t="n">
        <f aca="false">K25*L25</f>
        <v>336000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G26" s="65"/>
      <c r="J26" s="0" t="s">
        <v>159</v>
      </c>
      <c r="K26" s="50" t="n">
        <v>216000</v>
      </c>
      <c r="L26" s="50" t="n">
        <v>3</v>
      </c>
      <c r="M26" s="50" t="n">
        <f aca="false">K26*L26</f>
        <v>648000</v>
      </c>
      <c r="O26" s="65"/>
    </row>
    <row r="27" customFormat="false" ht="12.75" hidden="false" customHeight="false" outlineLevel="0" collapsed="false">
      <c r="B27" s="73" t="s">
        <v>289</v>
      </c>
      <c r="C27" s="65"/>
      <c r="E27" s="77" t="n">
        <v>0</v>
      </c>
      <c r="F27" s="65"/>
      <c r="G27" s="77" t="n">
        <v>0</v>
      </c>
      <c r="J27" s="0" t="s">
        <v>160</v>
      </c>
      <c r="K27" s="50" t="n">
        <v>222000</v>
      </c>
      <c r="L27" s="50" t="n">
        <v>0</v>
      </c>
      <c r="M27" s="50" t="n">
        <f aca="false">K27*L27</f>
        <v>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162</v>
      </c>
      <c r="K28" s="50" t="n">
        <v>300000</v>
      </c>
      <c r="L28" s="50" t="n">
        <v>0</v>
      </c>
      <c r="M28" s="50" t="n">
        <f aca="false">K28*L28</f>
        <v>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111</v>
      </c>
      <c r="F29" s="65"/>
      <c r="G29" s="77" t="n">
        <f aca="false">+G27+G25</f>
        <v>12</v>
      </c>
      <c r="H29" s="50"/>
      <c r="K29" s="50"/>
      <c r="L29" s="50" t="n">
        <f aca="false">SUM(L17:L28)</f>
        <v>12</v>
      </c>
      <c r="M29" s="50" t="n">
        <f aca="false">SUM(M17:M28)</f>
        <v>1776000</v>
      </c>
      <c r="O29" s="77" t="n">
        <v>1</v>
      </c>
    </row>
    <row r="30" customFormat="false" ht="12.75" hidden="false" customHeight="false" outlineLevel="0" collapsed="false">
      <c r="K30" s="50"/>
      <c r="L30" s="50"/>
      <c r="M30" s="50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'[26]Team Report'!BA29</f>
        <v>0</v>
      </c>
      <c r="E31" s="65" t="n">
        <f aca="false">(C31/9)*12</f>
        <v>0</v>
      </c>
      <c r="F31" s="65"/>
      <c r="J31" s="0" t="s">
        <v>249</v>
      </c>
      <c r="K31" s="50"/>
      <c r="L31" s="78"/>
      <c r="M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'[26]Team Report'!BA30</f>
        <v>0</v>
      </c>
      <c r="E32" s="65" t="n">
        <f aca="false">(C32/9)*12</f>
        <v>0</v>
      </c>
      <c r="F32" s="65"/>
      <c r="K32" s="50"/>
      <c r="L32" s="50"/>
      <c r="M32" s="50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'[26]Team Report'!BA31</f>
        <v>0</v>
      </c>
      <c r="E33" s="65" t="n">
        <f aca="false">(C33/9)*12</f>
        <v>0</v>
      </c>
      <c r="F33" s="65"/>
      <c r="J33" s="0" t="s">
        <v>270</v>
      </c>
      <c r="K33" s="50" t="n">
        <v>160000</v>
      </c>
      <c r="L33" s="50" t="n">
        <v>0</v>
      </c>
      <c r="M33" s="50" t="n">
        <f aca="false">K33*L33</f>
        <v>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'[26]Team Report'!BA39</f>
        <v>-7489842.25</v>
      </c>
      <c r="E34" s="65" t="n">
        <v>0</v>
      </c>
      <c r="F34" s="65"/>
      <c r="K34" s="50"/>
      <c r="L34" s="50"/>
      <c r="M34" s="50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'[26]Team Report'!BA40</f>
        <v>2999489.79</v>
      </c>
      <c r="E35" s="65" t="n">
        <v>0</v>
      </c>
      <c r="F35" s="65"/>
      <c r="K35" s="50"/>
      <c r="L35" s="50" t="n">
        <f aca="false">+L29+L33</f>
        <v>12</v>
      </c>
      <c r="M35" s="50" t="n">
        <f aca="false">M29*1.2+M33</f>
        <v>2131200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'[26]Team Report'!BA41</f>
        <v>205055.59</v>
      </c>
      <c r="E36" s="65" t="n">
        <v>0</v>
      </c>
      <c r="F36" s="65"/>
      <c r="K36" s="50"/>
      <c r="L36" s="50"/>
      <c r="M36" s="50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'[26]Team Report'!BA43</f>
        <v>42687168.7</v>
      </c>
      <c r="E37" s="65" t="n">
        <v>0</v>
      </c>
      <c r="F37" s="65"/>
      <c r="I37" s="17" t="s">
        <v>164</v>
      </c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'[26]Team Report'!BA45</f>
        <v>8186094.07</v>
      </c>
      <c r="E38" s="65" t="n">
        <v>0</v>
      </c>
      <c r="F38" s="65"/>
    </row>
    <row r="39" customFormat="false" ht="12.75" hidden="false" customHeight="false" outlineLevel="0" collapsed="false">
      <c r="I39" s="0" t="s">
        <v>263</v>
      </c>
    </row>
    <row r="40" customFormat="false" ht="12.75" hidden="false" customHeight="false" outlineLevel="0" collapsed="false">
      <c r="C40" s="103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50" width="10.41"/>
    <col collapsed="false" customWidth="true" hidden="false" outlineLevel="0" max="11" min="11" style="50" width="10.85"/>
    <col collapsed="false" customWidth="true" hidden="false" outlineLevel="0" max="12" min="12" style="50" width="11.42"/>
  </cols>
  <sheetData>
    <row r="1" customFormat="false" ht="18" hidden="false" customHeight="false" outlineLevel="0" collapsed="false">
      <c r="B1" s="51" t="str">
        <f aca="false">'[22]Team Report'!B1</f>
        <v>Enron North America</v>
      </c>
      <c r="C1" s="51"/>
      <c r="D1" s="51"/>
      <c r="E1" s="51"/>
      <c r="F1" s="51"/>
      <c r="G1" s="53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8" hidden="false" customHeight="false" outlineLevel="0" collapsed="false">
      <c r="B2" s="51" t="str">
        <f aca="false">'[22]Pull Sheet'!E9</f>
        <v>Research</v>
      </c>
      <c r="C2" s="51"/>
      <c r="D2" s="51"/>
      <c r="E2" s="51"/>
      <c r="F2" s="51"/>
      <c r="G2" s="53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I6" s="88"/>
      <c r="J6" s="80" t="s">
        <v>109</v>
      </c>
      <c r="K6" s="80" t="s">
        <v>110</v>
      </c>
      <c r="L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G7" s="17"/>
      <c r="I7" s="88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'[22]Team Report'!BA25</f>
        <v>3640949.9</v>
      </c>
      <c r="E8" s="65" t="n">
        <f aca="false">((C8/9)*12)*1.2</f>
        <v>5825519.84</v>
      </c>
      <c r="F8" s="65" t="n">
        <f aca="false">L29</f>
        <v>336000</v>
      </c>
      <c r="I8" s="88"/>
      <c r="L8" s="60"/>
      <c r="O8" s="65" t="n">
        <f aca="false">+F8/$F$29*$O$29</f>
        <v>168000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F9" s="65" t="n">
        <f aca="false">(D9/9)*12</f>
        <v>0</v>
      </c>
      <c r="I9" s="88" t="s">
        <v>120</v>
      </c>
      <c r="J9" s="50" t="n">
        <v>0</v>
      </c>
      <c r="K9" s="50" t="n">
        <f aca="false">K29</f>
        <v>2</v>
      </c>
      <c r="L9" s="60" t="n">
        <f aca="false">L33</f>
        <v>403200</v>
      </c>
      <c r="O9" s="65" t="n">
        <f aca="false">+F9/$F$29*$O$29</f>
        <v>0</v>
      </c>
    </row>
    <row r="10" customFormat="false" ht="12.75" hidden="false" customHeight="false" outlineLevel="0" collapsed="false">
      <c r="B10" s="64" t="s">
        <v>192</v>
      </c>
      <c r="C10" s="65" t="n">
        <v>0</v>
      </c>
      <c r="E10" s="65" t="n">
        <f aca="false">(C10/9)*12</f>
        <v>0</v>
      </c>
      <c r="F10" s="65" t="n">
        <f aca="false">(D10/9)*12</f>
        <v>0</v>
      </c>
      <c r="I10" s="88"/>
      <c r="L10" s="60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'[22]Team Report'!BA26</f>
        <v>762369.14</v>
      </c>
      <c r="E11" s="65" t="n">
        <f aca="false">((C11/9)*12)*1.2</f>
        <v>1219790.624</v>
      </c>
      <c r="F11" s="65" t="n">
        <f aca="false">L33-L29</f>
        <v>67200</v>
      </c>
      <c r="I11" s="88"/>
      <c r="L11" s="60"/>
      <c r="O11" s="65" t="n">
        <f aca="false">+F11/$F$29*$O$29</f>
        <v>33600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'[22]Team Report'!BA27</f>
        <v>173944.73</v>
      </c>
      <c r="E12" s="67" t="n">
        <f aca="false">((C12/9)*12)*1.2</f>
        <v>278311.568</v>
      </c>
      <c r="F12" s="65" t="n">
        <f aca="false">(E12/$E$29)*$F$29</f>
        <v>11359.6558367347</v>
      </c>
      <c r="I12" s="88" t="s">
        <v>83</v>
      </c>
      <c r="J12" s="50" t="n">
        <f aca="false">(E12+E13+E14+E15+E16+E17+E18+E19+E20+E21+E22)/E29</f>
        <v>33269.8053877551</v>
      </c>
      <c r="K12" s="50" t="n">
        <f aca="false">K29</f>
        <v>2</v>
      </c>
      <c r="L12" s="60" t="n">
        <f aca="false">J12*K12</f>
        <v>66539.6107755102</v>
      </c>
      <c r="O12" s="65" t="n">
        <f aca="false">+F12/$F$29*$O$29</f>
        <v>5679.82791836735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'[22]Team Report'!BA28</f>
        <v>293972.73</v>
      </c>
      <c r="E13" s="67" t="n">
        <f aca="false">((C13/9)*12)*1.2</f>
        <v>470356.368</v>
      </c>
      <c r="F13" s="65" t="n">
        <f aca="false">(E13/$E$29)*$F$29</f>
        <v>19198.2191020408</v>
      </c>
      <c r="I13" s="88"/>
      <c r="L13" s="60"/>
      <c r="O13" s="65" t="n">
        <f aca="false">+F13/$F$29*$O$29</f>
        <v>9599.10955102041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f aca="false">'[22]Team Report'!BA32</f>
        <v>67481.55</v>
      </c>
      <c r="E14" s="67" t="n">
        <f aca="false">((C14/9)*12)*1.2</f>
        <v>107970.48</v>
      </c>
      <c r="F14" s="65" t="n">
        <f aca="false">(E14/$E$29)*$F$29</f>
        <v>4406.95836734694</v>
      </c>
      <c r="I14" s="93" t="s">
        <v>129</v>
      </c>
      <c r="J14" s="69"/>
      <c r="K14" s="69"/>
      <c r="L14" s="70" t="n">
        <f aca="false">SUM(L9:L12)</f>
        <v>469739.61077551</v>
      </c>
      <c r="N14" s="0" t="n">
        <v>1699109</v>
      </c>
      <c r="O14" s="65" t="n">
        <f aca="false">+F14/$F$29*$O$29</f>
        <v>2203.47918367347</v>
      </c>
      <c r="P14" s="71" t="n">
        <f aca="false">N14-L14</f>
        <v>1229369.38922449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'[22]Team Report'!BA33</f>
        <v>48511.92</v>
      </c>
      <c r="E15" s="67" t="n">
        <f aca="false">((C15/9)*12)*1.2</f>
        <v>77619.072</v>
      </c>
      <c r="F15" s="65" t="n">
        <f aca="false">(E15/$E$29)*$F$29</f>
        <v>3168.1253877551</v>
      </c>
      <c r="I15" s="27"/>
      <c r="O15" s="65" t="n">
        <f aca="false">+F15/$F$29*$O$29</f>
        <v>1584.06269387755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'[22]Team Report'!BA34</f>
        <v>0</v>
      </c>
      <c r="E16" s="67" t="n">
        <f aca="false">(C16/9)*12</f>
        <v>0</v>
      </c>
      <c r="F16" s="65" t="n">
        <f aca="false">(E16/$E$29)*$F$29</f>
        <v>0</v>
      </c>
      <c r="I16" s="27"/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'[22]Team Report'!BA35</f>
        <v>2500</v>
      </c>
      <c r="E17" s="67" t="n">
        <f aca="false">((C17/9)*12)*1.2</f>
        <v>4000</v>
      </c>
      <c r="F17" s="65" t="n">
        <f aca="false">(E17/$E$29)*$F$29</f>
        <v>163.265306122449</v>
      </c>
      <c r="I17" s="27" t="s">
        <v>193</v>
      </c>
      <c r="J17" s="50" t="n">
        <f aca="false">30000*1.2</f>
        <v>36000</v>
      </c>
      <c r="K17" s="50" t="n">
        <f aca="false">H17*J17</f>
        <v>0</v>
      </c>
      <c r="L17" s="50" t="n">
        <f aca="false">J17*K17</f>
        <v>0</v>
      </c>
      <c r="O17" s="65" t="n">
        <f aca="false">+F17/$F$29*$O$29</f>
        <v>81.6326530612245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'[22]Team Report'!BA36</f>
        <v>0</v>
      </c>
      <c r="E18" s="67" t="n">
        <f aca="false">(C18/9)*12</f>
        <v>0</v>
      </c>
      <c r="F18" s="65" t="n">
        <f aca="false">(E18/$E$29)*$F$29</f>
        <v>0</v>
      </c>
      <c r="I18" s="0" t="s">
        <v>255</v>
      </c>
      <c r="J18" s="50" t="n">
        <v>48000</v>
      </c>
      <c r="K18" s="50" t="n">
        <v>0</v>
      </c>
      <c r="L18" s="50" t="n">
        <f aca="false">J18*K18</f>
        <v>0</v>
      </c>
      <c r="O18" s="65" t="n">
        <f aca="false">+F18/$F$29*$O$29</f>
        <v>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'[22]Team Report'!BA37</f>
        <v>129576.92</v>
      </c>
      <c r="E19" s="67" t="n">
        <f aca="false">((C19/9)*12)*1.2</f>
        <v>207323.072</v>
      </c>
      <c r="F19" s="65" t="n">
        <f aca="false">(E19/$E$29)*$F$29</f>
        <v>8462.16620408163</v>
      </c>
      <c r="I19" s="0" t="s">
        <v>142</v>
      </c>
      <c r="J19" s="50" t="n">
        <v>49200</v>
      </c>
      <c r="K19" s="50" t="n">
        <v>0</v>
      </c>
      <c r="L19" s="50" t="n">
        <f aca="false">J19*K19</f>
        <v>0</v>
      </c>
      <c r="O19" s="65" t="n">
        <f aca="false">+F19/$F$29*$O$29</f>
        <v>4231.08310204082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'[22]Team Report'!BA38</f>
        <v>10.03</v>
      </c>
      <c r="E20" s="67" t="n">
        <f aca="false">((C20/9)*12)*1.2</f>
        <v>16.048</v>
      </c>
      <c r="F20" s="65" t="n">
        <f aca="false">(E20/$E$29)*$F$29</f>
        <v>0.655020408163265</v>
      </c>
      <c r="I20" s="0" t="s">
        <v>256</v>
      </c>
      <c r="J20" s="50" t="n">
        <v>57600</v>
      </c>
      <c r="K20" s="50" t="n">
        <v>0</v>
      </c>
      <c r="L20" s="50" t="n">
        <f aca="false">J20*K20</f>
        <v>0</v>
      </c>
      <c r="O20" s="65" t="n">
        <f aca="false">+F20/$F$29*$O$29</f>
        <v>0.327510204081633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'[22]Team Report'!BA42</f>
        <v>302115.48</v>
      </c>
      <c r="E21" s="67" t="n">
        <f aca="false">((C21/9)*12)*1.2</f>
        <v>483384.768</v>
      </c>
      <c r="F21" s="65" t="n">
        <f aca="false">(E21/$E$29)*$F$29</f>
        <v>19729.9905306122</v>
      </c>
      <c r="I21" s="0" t="s">
        <v>154</v>
      </c>
      <c r="J21" s="50" t="n">
        <v>72000</v>
      </c>
      <c r="K21" s="50" t="n">
        <v>0</v>
      </c>
      <c r="L21" s="50" t="n">
        <f aca="false">J21*K21</f>
        <v>0</v>
      </c>
      <c r="O21" s="65" t="n">
        <f aca="false">+F21/$F$29*$O$29</f>
        <v>9864.99526530612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'[22]Team Report'!BA44</f>
        <v>774.43</v>
      </c>
      <c r="E22" s="67" t="n">
        <f aca="false">((C22/9)*12)*1.2</f>
        <v>1239.088</v>
      </c>
      <c r="F22" s="65" t="n">
        <f aca="false">(E22/$E$29)*$F$29</f>
        <v>50.5750204081633</v>
      </c>
      <c r="I22" s="0" t="s">
        <v>145</v>
      </c>
      <c r="J22" s="50" t="n">
        <v>62400</v>
      </c>
      <c r="K22" s="50" t="n">
        <v>0</v>
      </c>
      <c r="L22" s="50" t="n">
        <f aca="false">J22*K22</f>
        <v>0</v>
      </c>
      <c r="O22" s="65" t="n">
        <f aca="false">+F22/$F$29*$O$29</f>
        <v>25.2875102040816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469739.61077551</v>
      </c>
      <c r="I23" s="0" t="s">
        <v>297</v>
      </c>
      <c r="J23" s="50" t="n">
        <v>74400</v>
      </c>
      <c r="K23" s="50" t="n">
        <v>0</v>
      </c>
      <c r="L23" s="50" t="n">
        <f aca="false">J23*K23</f>
        <v>0</v>
      </c>
      <c r="O23" s="96" t="n">
        <f aca="false">SUM(O8:O22)</f>
        <v>234869.805387755</v>
      </c>
    </row>
    <row r="24" customFormat="false" ht="12.75" hidden="false" customHeight="false" outlineLevel="0" collapsed="false">
      <c r="I24" s="0" t="s">
        <v>258</v>
      </c>
      <c r="J24" s="50" t="n">
        <v>90000</v>
      </c>
      <c r="K24" s="50" t="n">
        <v>0</v>
      </c>
      <c r="L24" s="50" t="n">
        <f aca="false">J24*K24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v>44</v>
      </c>
      <c r="F25" s="77" t="n">
        <f aca="false">+K29</f>
        <v>2</v>
      </c>
      <c r="I25" s="0" t="s">
        <v>259</v>
      </c>
      <c r="J25" s="50" t="n">
        <v>120000</v>
      </c>
      <c r="K25" s="50" t="n">
        <v>1</v>
      </c>
      <c r="L25" s="50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I26" s="0" t="s">
        <v>310</v>
      </c>
      <c r="J26" s="50" t="n">
        <v>178800</v>
      </c>
      <c r="K26" s="50" t="n">
        <v>0</v>
      </c>
      <c r="L26" s="50" t="n">
        <f aca="false">J26*K26</f>
        <v>0</v>
      </c>
      <c r="O26" s="65"/>
    </row>
    <row r="27" customFormat="false" ht="12.75" hidden="false" customHeight="false" outlineLevel="0" collapsed="false">
      <c r="B27" s="73" t="s">
        <v>289</v>
      </c>
      <c r="C27" s="65"/>
      <c r="E27" s="77" t="n">
        <v>5</v>
      </c>
      <c r="F27" s="77" t="n">
        <v>0</v>
      </c>
      <c r="I27" s="0" t="s">
        <v>261</v>
      </c>
      <c r="J27" s="50" t="n">
        <v>216000</v>
      </c>
      <c r="K27" s="50" t="n">
        <v>1</v>
      </c>
      <c r="L27" s="50" t="n">
        <f aca="false">J27*K27</f>
        <v>216000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262</v>
      </c>
      <c r="J28" s="50" t="n">
        <v>312000</v>
      </c>
      <c r="K28" s="50" t="n">
        <f aca="false">H27*J28</f>
        <v>0</v>
      </c>
      <c r="L28" s="50" t="n">
        <f aca="false">J28*K28</f>
        <v>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49</v>
      </c>
      <c r="F29" s="77" t="n">
        <f aca="false">+F27+F25</f>
        <v>2</v>
      </c>
      <c r="G29" s="50"/>
      <c r="K29" s="50" t="n">
        <f aca="false">SUM(K17:K28)</f>
        <v>2</v>
      </c>
      <c r="L29" s="50" t="n">
        <f aca="false">SUM(L17:L28)</f>
        <v>336000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'[22]Team Report'!BA29</f>
        <v>0</v>
      </c>
      <c r="E31" s="65" t="n">
        <f aca="false">(C31/9)*12</f>
        <v>0</v>
      </c>
      <c r="I31" s="0" t="s">
        <v>249</v>
      </c>
      <c r="K31" s="78"/>
      <c r="L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'[22]Team Report'!BA30</f>
        <v>0</v>
      </c>
      <c r="E32" s="65" t="n">
        <f aca="false">(C32/9)*12</f>
        <v>0</v>
      </c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'[22]Team Report'!BA31</f>
        <v>0</v>
      </c>
      <c r="E33" s="65" t="n">
        <f aca="false">(C33/9)*12</f>
        <v>0</v>
      </c>
      <c r="L33" s="50" t="n">
        <f aca="false">L29*1.2</f>
        <v>403200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'[22]Team Report'!BA39</f>
        <v>0</v>
      </c>
      <c r="E34" s="65" t="n">
        <f aca="false">(C34/9)*12</f>
        <v>0</v>
      </c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'[22]Team Report'!BA40</f>
        <v>147341.9</v>
      </c>
      <c r="E35" s="65" t="n">
        <f aca="false">(C35/9)*12</f>
        <v>196455.866666667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'[22]Team Report'!BA41</f>
        <v>285701.8</v>
      </c>
      <c r="E36" s="65" t="n">
        <f aca="false">(C36/9)*12</f>
        <v>380935.733333333</v>
      </c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'[22]Team Report'!BA43</f>
        <v>-4445984</v>
      </c>
      <c r="E37" s="65" t="n">
        <f aca="false">(C37/9)*12</f>
        <v>-5927978.66666667</v>
      </c>
      <c r="G37" s="17" t="s">
        <v>164</v>
      </c>
      <c r="I37" s="50"/>
      <c r="L37" s="0"/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'[22]Team Report'!BA45</f>
        <v>1176.06</v>
      </c>
      <c r="E38" s="65" t="n">
        <f aca="false">(C38/9)*12</f>
        <v>1568.08</v>
      </c>
      <c r="I38" s="50"/>
      <c r="L38" s="0"/>
    </row>
    <row r="39" customFormat="false" ht="12.75" hidden="true" customHeight="false" outlineLevel="0" collapsed="false">
      <c r="G39" s="79" t="s">
        <v>165</v>
      </c>
      <c r="I39" s="80" t="s">
        <v>166</v>
      </c>
      <c r="J39" s="80" t="s">
        <v>167</v>
      </c>
      <c r="K39" s="80" t="s">
        <v>110</v>
      </c>
      <c r="L39" s="80" t="s">
        <v>168</v>
      </c>
    </row>
    <row r="40" customFormat="false" ht="12.75" hidden="true" customHeight="false" outlineLevel="0" collapsed="false">
      <c r="C40" s="103" t="n">
        <f aca="false">C23+C31+C32+C33+C34+C35+C36+C37+C38</f>
        <v>1410442.59</v>
      </c>
      <c r="G40" s="81" t="n">
        <f aca="false">SUM(E12:E22)</f>
        <v>1630220.464</v>
      </c>
      <c r="I40" s="111" t="n">
        <f aca="false">+E29</f>
        <v>49</v>
      </c>
      <c r="J40" s="80" t="n">
        <f aca="false">+G40/I40</f>
        <v>33269.8053877551</v>
      </c>
      <c r="K40" s="111" t="n">
        <f aca="false">+K12</f>
        <v>2</v>
      </c>
      <c r="L40" s="80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50" width="10.41"/>
    <col collapsed="false" customWidth="true" hidden="true" outlineLevel="0" max="11" min="11" style="50" width="10.85"/>
    <col collapsed="false" customWidth="true" hidden="true" outlineLevel="0" max="12" min="12" style="50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51" t="str">
        <f aca="false">'[22]Team Report'!B1</f>
        <v>Enron North America</v>
      </c>
      <c r="C1" s="51"/>
      <c r="D1" s="51"/>
      <c r="E1" s="51"/>
      <c r="F1" s="51"/>
      <c r="G1" s="53"/>
      <c r="H1" s="53"/>
      <c r="I1" s="53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customFormat="false" ht="18" hidden="false" customHeight="false" outlineLevel="0" collapsed="false">
      <c r="B2" s="51" t="s">
        <v>71</v>
      </c>
      <c r="C2" s="51"/>
      <c r="D2" s="51"/>
      <c r="E2" s="51"/>
      <c r="F2" s="51"/>
      <c r="G2" s="53"/>
      <c r="H2" s="53"/>
      <c r="I2" s="53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I6" s="88"/>
      <c r="J6" s="80" t="s">
        <v>109</v>
      </c>
      <c r="K6" s="80" t="s">
        <v>110</v>
      </c>
      <c r="L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G7" s="17"/>
      <c r="I7" s="88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'[22]Team Report'!BA25</f>
        <v>3640949.9</v>
      </c>
      <c r="E8" s="65" t="n">
        <f aca="false">((C8/9)*12)*1.2</f>
        <v>5825519.84</v>
      </c>
      <c r="F8" s="65" t="n">
        <f aca="false">L29+433200</f>
        <v>1952400</v>
      </c>
      <c r="I8" s="88"/>
      <c r="L8" s="60"/>
      <c r="O8" s="65" t="n">
        <f aca="false">+F8/$F$29*$O$29</f>
        <v>177490.909090909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F9" s="65" t="n">
        <f aca="false">(D9/9)*12</f>
        <v>0</v>
      </c>
      <c r="I9" s="88" t="s">
        <v>120</v>
      </c>
      <c r="J9" s="50" t="n">
        <v>0</v>
      </c>
      <c r="K9" s="50" t="n">
        <f aca="false">K29</f>
        <v>11</v>
      </c>
      <c r="L9" s="60" t="n">
        <f aca="false">L33</f>
        <v>1823040</v>
      </c>
      <c r="O9" s="65" t="n">
        <f aca="false">+F9/$F$29*$O$29</f>
        <v>0</v>
      </c>
    </row>
    <row r="10" customFormat="false" ht="12.75" hidden="false" customHeight="false" outlineLevel="0" collapsed="false">
      <c r="B10" s="64" t="s">
        <v>192</v>
      </c>
      <c r="C10" s="65" t="n">
        <v>0</v>
      </c>
      <c r="E10" s="65" t="n">
        <f aca="false">(C10/9)*12</f>
        <v>0</v>
      </c>
      <c r="F10" s="65" t="n">
        <f aca="false">(D10/9)*12</f>
        <v>0</v>
      </c>
      <c r="I10" s="88"/>
      <c r="L10" s="60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'[22]Team Report'!BA26</f>
        <v>762369.14</v>
      </c>
      <c r="E11" s="65" t="n">
        <f aca="false">((C11/9)*12)*1.2</f>
        <v>1219790.624</v>
      </c>
      <c r="F11" s="65" t="n">
        <f aca="false">L33-L29+86640</f>
        <v>390480</v>
      </c>
      <c r="I11" s="88"/>
      <c r="L11" s="60"/>
      <c r="O11" s="65" t="n">
        <f aca="false">+F11/$F$29*$O$29</f>
        <v>35498.1818181818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'[22]Team Report'!BA27</f>
        <v>173944.73</v>
      </c>
      <c r="E12" s="67" t="n">
        <f aca="false">((C12/9)*12)*1.2</f>
        <v>278311.568</v>
      </c>
      <c r="F12" s="65" t="n">
        <f aca="false">(E12/$E$29)*$F$29</f>
        <v>62478.1071020408</v>
      </c>
      <c r="I12" s="88" t="s">
        <v>83</v>
      </c>
      <c r="J12" s="50" t="n">
        <f aca="false">(E12+E13+E14+E15+E16+E17+E18+E19+E20+E21+E22)/E29</f>
        <v>33269.8053877551</v>
      </c>
      <c r="K12" s="50" t="n">
        <f aca="false">K29</f>
        <v>11</v>
      </c>
      <c r="L12" s="60" t="n">
        <f aca="false">J12*K12</f>
        <v>365967.859265306</v>
      </c>
      <c r="O12" s="65" t="n">
        <f aca="false">+F12/$F$29*$O$29</f>
        <v>5679.82791836735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'[22]Team Report'!BA28</f>
        <v>293972.73</v>
      </c>
      <c r="E13" s="67" t="n">
        <f aca="false">((C13/9)*12)*1.2</f>
        <v>470356.368</v>
      </c>
      <c r="F13" s="65" t="n">
        <f aca="false">(E13/$E$29)*$F$29</f>
        <v>105590.205061225</v>
      </c>
      <c r="I13" s="88"/>
      <c r="L13" s="60"/>
      <c r="O13" s="65" t="n">
        <f aca="false">+F13/$F$29*$O$29</f>
        <v>9599.10955102041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f aca="false">'[22]Team Report'!BA32</f>
        <v>67481.55</v>
      </c>
      <c r="E14" s="67" t="n">
        <f aca="false">((C14/9)*12)*1.2</f>
        <v>107970.48</v>
      </c>
      <c r="F14" s="65" t="n">
        <f aca="false">(E14/$E$29)*$F$29</f>
        <v>24238.2710204082</v>
      </c>
      <c r="I14" s="93" t="s">
        <v>129</v>
      </c>
      <c r="J14" s="69"/>
      <c r="K14" s="69"/>
      <c r="L14" s="70" t="n">
        <f aca="false">SUM(L9:L12)</f>
        <v>2189007.85926531</v>
      </c>
      <c r="N14" s="0" t="n">
        <v>1699109</v>
      </c>
      <c r="O14" s="65" t="n">
        <f aca="false">+F14/$F$29*$O$29</f>
        <v>2203.47918367347</v>
      </c>
      <c r="P14" s="71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'[22]Team Report'!BA33</f>
        <v>48511.92</v>
      </c>
      <c r="E15" s="67" t="n">
        <f aca="false">((C15/9)*12)*1.2</f>
        <v>77619.072</v>
      </c>
      <c r="F15" s="65" t="n">
        <f aca="false">(E15/$E$29)*$F$29</f>
        <v>17424.6896326531</v>
      </c>
      <c r="I15" s="27"/>
      <c r="O15" s="65" t="n">
        <f aca="false">+F15/$F$29*$O$29</f>
        <v>1584.06269387755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'[22]Team Report'!BA34</f>
        <v>0</v>
      </c>
      <c r="E16" s="67" t="n">
        <f aca="false">(C16/9)*12</f>
        <v>0</v>
      </c>
      <c r="F16" s="65" t="n">
        <f aca="false">(E16/$E$29)*$F$29</f>
        <v>0</v>
      </c>
      <c r="I16" s="27"/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'[22]Team Report'!BA35</f>
        <v>2500</v>
      </c>
      <c r="E17" s="67" t="n">
        <f aca="false">((C17/9)*12)*1.2</f>
        <v>4000</v>
      </c>
      <c r="F17" s="65" t="n">
        <f aca="false">(E17/$E$29)*$F$29</f>
        <v>897.959183673469</v>
      </c>
      <c r="I17" s="27" t="s">
        <v>193</v>
      </c>
      <c r="J17" s="50" t="n">
        <f aca="false">30000*1.2</f>
        <v>36000</v>
      </c>
      <c r="K17" s="50" t="n">
        <f aca="false">H17*J17</f>
        <v>0</v>
      </c>
      <c r="L17" s="50" t="n">
        <f aca="false">J17*K17</f>
        <v>0</v>
      </c>
      <c r="O17" s="65" t="n">
        <f aca="false">+F17/$F$29*$O$29</f>
        <v>81.6326530612245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'[22]Team Report'!BA36</f>
        <v>0</v>
      </c>
      <c r="E18" s="67" t="n">
        <f aca="false">(C18/9)*12</f>
        <v>0</v>
      </c>
      <c r="F18" s="65" t="n">
        <f aca="false">(E18/$E$29)*$F$29</f>
        <v>0</v>
      </c>
      <c r="I18" s="0" t="s">
        <v>255</v>
      </c>
      <c r="J18" s="50" t="n">
        <v>48000</v>
      </c>
      <c r="K18" s="50" t="n">
        <v>1</v>
      </c>
      <c r="L18" s="50" t="n">
        <f aca="false">J18*K18</f>
        <v>48000</v>
      </c>
      <c r="O18" s="65" t="n">
        <f aca="false">+F18/$F$29*$O$29</f>
        <v>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'[22]Team Report'!BA37</f>
        <v>129576.92</v>
      </c>
      <c r="E19" s="67" t="n">
        <f aca="false">((C19/9)*12)*1.2</f>
        <v>207323.072</v>
      </c>
      <c r="F19" s="65" t="n">
        <f aca="false">(E19/$E$29)*$F$29+60000</f>
        <v>106541.914122449</v>
      </c>
      <c r="I19" s="0" t="s">
        <v>142</v>
      </c>
      <c r="J19" s="50" t="n">
        <v>49200</v>
      </c>
      <c r="K19" s="50" t="n">
        <v>0</v>
      </c>
      <c r="L19" s="50" t="n">
        <f aca="false">J19*K19</f>
        <v>0</v>
      </c>
      <c r="O19" s="65" t="n">
        <f aca="false">+F19/$F$29*$O$29</f>
        <v>9685.62855658627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'[22]Team Report'!BA38</f>
        <v>10.03</v>
      </c>
      <c r="E20" s="67" t="n">
        <f aca="false">((C20/9)*12)*1.2</f>
        <v>16.048</v>
      </c>
      <c r="F20" s="65" t="n">
        <f aca="false">(E20/$E$29)*$F$29</f>
        <v>3.60261224489796</v>
      </c>
      <c r="I20" s="0" t="s">
        <v>256</v>
      </c>
      <c r="J20" s="50" t="n">
        <v>57600</v>
      </c>
      <c r="K20" s="50" t="n">
        <v>0</v>
      </c>
      <c r="L20" s="50" t="n">
        <f aca="false">J20*K20</f>
        <v>0</v>
      </c>
      <c r="O20" s="65" t="n">
        <f aca="false">+F20/$F$29*$O$29</f>
        <v>0.327510204081633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'[22]Team Report'!BA42</f>
        <v>302115.48</v>
      </c>
      <c r="E21" s="67" t="n">
        <f aca="false">((C21/9)*12)*1.2</f>
        <v>483384.768</v>
      </c>
      <c r="F21" s="65" t="n">
        <f aca="false">(E21/$E$29)*$F$29</f>
        <v>108514.947918367</v>
      </c>
      <c r="I21" s="0" t="s">
        <v>154</v>
      </c>
      <c r="J21" s="50" t="n">
        <v>72000</v>
      </c>
      <c r="K21" s="50" t="n">
        <v>0</v>
      </c>
      <c r="L21" s="50" t="n">
        <f aca="false">J21*K21</f>
        <v>0</v>
      </c>
      <c r="O21" s="65" t="n">
        <f aca="false">+F21/$F$29*$O$29</f>
        <v>9864.99526530612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'[22]Team Report'!BA44</f>
        <v>774.43</v>
      </c>
      <c r="E22" s="67" t="n">
        <f aca="false">((C22/9)*12)*1.2</f>
        <v>1239.088</v>
      </c>
      <c r="F22" s="65" t="n">
        <f aca="false">(E22/$E$29)*$F$29</f>
        <v>278.162612244898</v>
      </c>
      <c r="I22" s="0" t="s">
        <v>145</v>
      </c>
      <c r="J22" s="50" t="n">
        <v>62400</v>
      </c>
      <c r="K22" s="50" t="n">
        <v>0</v>
      </c>
      <c r="L22" s="50" t="n">
        <f aca="false">J22*K22</f>
        <v>0</v>
      </c>
      <c r="O22" s="65" t="n">
        <f aca="false">+F22/$F$29*$O$29</f>
        <v>25.2875102040816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2768847.85926531</v>
      </c>
      <c r="I23" s="0" t="s">
        <v>297</v>
      </c>
      <c r="J23" s="50" t="n">
        <v>74400</v>
      </c>
      <c r="K23" s="50" t="n">
        <v>1</v>
      </c>
      <c r="L23" s="50" t="n">
        <f aca="false">J23*K23</f>
        <v>74400</v>
      </c>
      <c r="O23" s="96" t="n">
        <f aca="false">SUM(O8:O22)</f>
        <v>251713.441751391</v>
      </c>
    </row>
    <row r="24" customFormat="false" ht="12.75" hidden="false" customHeight="false" outlineLevel="0" collapsed="false">
      <c r="I24" s="0" t="s">
        <v>258</v>
      </c>
      <c r="J24" s="50" t="n">
        <v>90000</v>
      </c>
      <c r="K24" s="50" t="n">
        <v>1</v>
      </c>
      <c r="L24" s="50" t="n">
        <f aca="false">J24*K24</f>
        <v>90000</v>
      </c>
    </row>
    <row r="25" customFormat="false" ht="12.75" hidden="false" customHeight="false" outlineLevel="0" collapsed="false">
      <c r="B25" s="73" t="s">
        <v>7</v>
      </c>
      <c r="C25" s="65"/>
      <c r="E25" s="77" t="n">
        <v>44</v>
      </c>
      <c r="F25" s="77" t="n">
        <f aca="false">+K29</f>
        <v>11</v>
      </c>
      <c r="I25" s="0" t="s">
        <v>259</v>
      </c>
      <c r="J25" s="50" t="n">
        <v>120000</v>
      </c>
      <c r="K25" s="50" t="n">
        <v>5</v>
      </c>
      <c r="L25" s="50" t="n">
        <f aca="false">J25*K25</f>
        <v>600000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I26" s="0" t="s">
        <v>260</v>
      </c>
      <c r="J26" s="50" t="n">
        <v>178800</v>
      </c>
      <c r="K26" s="50" t="n">
        <v>1</v>
      </c>
      <c r="L26" s="50" t="n">
        <f aca="false">J26*K26</f>
        <v>178800</v>
      </c>
      <c r="O26" s="65"/>
    </row>
    <row r="27" customFormat="false" ht="12.75" hidden="false" customHeight="false" outlineLevel="0" collapsed="false">
      <c r="B27" s="73" t="s">
        <v>289</v>
      </c>
      <c r="C27" s="65"/>
      <c r="E27" s="77" t="n">
        <v>5</v>
      </c>
      <c r="F27" s="77" t="n">
        <v>0</v>
      </c>
      <c r="I27" s="0" t="s">
        <v>261</v>
      </c>
      <c r="J27" s="50" t="n">
        <v>216000</v>
      </c>
      <c r="K27" s="50" t="n">
        <v>1</v>
      </c>
      <c r="L27" s="50" t="n">
        <f aca="false">J27*K27</f>
        <v>216000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262</v>
      </c>
      <c r="J28" s="50" t="n">
        <v>312000</v>
      </c>
      <c r="K28" s="50" t="n">
        <v>1</v>
      </c>
      <c r="L28" s="50" t="n">
        <f aca="false">J28*K28</f>
        <v>312000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49</v>
      </c>
      <c r="F29" s="77" t="n">
        <f aca="false">+F27+F25</f>
        <v>11</v>
      </c>
      <c r="G29" s="50"/>
      <c r="K29" s="50" t="n">
        <f aca="false">SUM(K17:K28)</f>
        <v>11</v>
      </c>
      <c r="L29" s="50" t="n">
        <f aca="false">SUM(L17:L28)</f>
        <v>1519200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'[22]Team Report'!BA29</f>
        <v>0</v>
      </c>
      <c r="E31" s="65" t="n">
        <f aca="false">(C31/9)*12</f>
        <v>0</v>
      </c>
      <c r="I31" s="0" t="s">
        <v>249</v>
      </c>
      <c r="K31" s="78"/>
      <c r="L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'[22]Team Report'!BA30</f>
        <v>0</v>
      </c>
      <c r="E32" s="65" t="n">
        <f aca="false">(C32/9)*12</f>
        <v>0</v>
      </c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'[22]Team Report'!BA31</f>
        <v>0</v>
      </c>
      <c r="E33" s="65" t="n">
        <f aca="false">(C33/9)*12</f>
        <v>0</v>
      </c>
      <c r="L33" s="50" t="n">
        <f aca="false">L29*1.2</f>
        <v>1823040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'[22]Team Report'!BA39</f>
        <v>0</v>
      </c>
      <c r="E34" s="65" t="n">
        <f aca="false">(C34/9)*12</f>
        <v>0</v>
      </c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'[22]Team Report'!BA40</f>
        <v>147341.9</v>
      </c>
      <c r="E35" s="65" t="n">
        <f aca="false">(C35/9)*12</f>
        <v>196455.866666667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'[22]Team Report'!BA41</f>
        <v>285701.8</v>
      </c>
      <c r="E36" s="65" t="n">
        <f aca="false">(C36/9)*12</f>
        <v>380935.733333333</v>
      </c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'[22]Team Report'!BA43</f>
        <v>-4445984</v>
      </c>
      <c r="E37" s="65" t="n">
        <f aca="false">(C37/9)*12</f>
        <v>-5927978.66666667</v>
      </c>
      <c r="G37" s="17" t="s">
        <v>164</v>
      </c>
      <c r="I37" s="50"/>
      <c r="L37" s="0"/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'[22]Team Report'!BA45</f>
        <v>1176.06</v>
      </c>
      <c r="E38" s="65" t="n">
        <f aca="false">(C38/9)*12</f>
        <v>1568.08</v>
      </c>
      <c r="I38" s="50"/>
      <c r="L38" s="0"/>
    </row>
    <row r="39" customFormat="false" ht="12.75" hidden="true" customHeight="false" outlineLevel="0" collapsed="false">
      <c r="G39" s="79" t="s">
        <v>165</v>
      </c>
      <c r="I39" s="80" t="s">
        <v>166</v>
      </c>
      <c r="J39" s="80" t="s">
        <v>167</v>
      </c>
      <c r="K39" s="80" t="s">
        <v>110</v>
      </c>
      <c r="L39" s="80" t="s">
        <v>168</v>
      </c>
    </row>
    <row r="40" customFormat="false" ht="12.75" hidden="true" customHeight="false" outlineLevel="0" collapsed="false">
      <c r="C40" s="103" t="n">
        <f aca="false">C23+C31+C32+C33+C34+C35+C36+C37+C38</f>
        <v>1410442.59</v>
      </c>
      <c r="G40" s="81" t="n">
        <f aca="false">SUM(E12:E22)</f>
        <v>1630220.464</v>
      </c>
      <c r="I40" s="111" t="n">
        <f aca="false">+E29</f>
        <v>49</v>
      </c>
      <c r="J40" s="80" t="n">
        <f aca="false">+G40/I40</f>
        <v>33269.8053877551</v>
      </c>
      <c r="K40" s="111" t="n">
        <f aca="false">+K12</f>
        <v>11</v>
      </c>
      <c r="L40" s="80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50" width="10.41"/>
    <col collapsed="false" customWidth="true" hidden="false" outlineLevel="0" max="12" min="12" style="50" width="10.85"/>
    <col collapsed="false" customWidth="true" hidden="false" outlineLevel="0" max="13" min="13" style="50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51" t="str">
        <f aca="false">'[19]Team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267</v>
      </c>
      <c r="C2" s="51"/>
      <c r="D2" s="51"/>
      <c r="E2" s="51"/>
      <c r="F2" s="51"/>
      <c r="G2" s="51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J6" s="88"/>
      <c r="K6" s="80" t="s">
        <v>109</v>
      </c>
      <c r="L6" s="80" t="s">
        <v>110</v>
      </c>
      <c r="M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'[19]Team Report'!BA25</f>
        <v>10228335.79</v>
      </c>
      <c r="E8" s="65" t="n">
        <f aca="false">+C8/9*12</f>
        <v>13637781.0533333</v>
      </c>
      <c r="F8" s="65"/>
      <c r="G8" s="65" t="n">
        <f aca="false">SUM(M19:M28)+3000000</f>
        <v>18144000</v>
      </c>
      <c r="J8" s="88"/>
      <c r="M8" s="60"/>
      <c r="O8" s="65" t="n">
        <f aca="false">+G8/$G$29*$O$29</f>
        <v>136421.052631579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+C9/9*12</f>
        <v>0</v>
      </c>
      <c r="F9" s="65"/>
      <c r="G9" s="65" t="n">
        <f aca="false">+E9/9*12</f>
        <v>0</v>
      </c>
      <c r="J9" s="88" t="s">
        <v>120</v>
      </c>
      <c r="K9" s="50" t="n">
        <v>0</v>
      </c>
      <c r="L9" s="50" t="n">
        <f aca="false">+L35</f>
        <v>128</v>
      </c>
      <c r="M9" s="60" t="n">
        <f aca="false">M35</f>
        <v>18172800</v>
      </c>
      <c r="O9" s="65" t="n">
        <f aca="false">+G9/$G$29*$O$29</f>
        <v>0</v>
      </c>
    </row>
    <row r="10" customFormat="false" ht="12.75" hidden="false" customHeight="false" outlineLevel="0" collapsed="false">
      <c r="A10" s="63"/>
      <c r="B10" s="64" t="s">
        <v>234</v>
      </c>
      <c r="C10" s="65" t="n">
        <v>0</v>
      </c>
      <c r="E10" s="65" t="n">
        <f aca="false">+C10/9*12</f>
        <v>0</v>
      </c>
      <c r="F10" s="65"/>
      <c r="G10" s="65" t="n">
        <f aca="false">+E10/9*12</f>
        <v>0</v>
      </c>
      <c r="J10" s="88"/>
      <c r="M10" s="60"/>
      <c r="O10" s="65" t="n">
        <f aca="false">+G10/$G$29*$O$29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'[19]Team Report'!BA26</f>
        <v>1877442.13</v>
      </c>
      <c r="E11" s="65" t="n">
        <f aca="false">+C11/9*12</f>
        <v>2503256.17333333</v>
      </c>
      <c r="F11" s="65"/>
      <c r="G11" s="65" t="n">
        <f aca="false">+G8*0.2</f>
        <v>3628800</v>
      </c>
      <c r="J11" s="88"/>
      <c r="M11" s="60"/>
      <c r="O11" s="65" t="n">
        <f aca="false">+G11/$G$29*$O$29</f>
        <v>27284.2105263158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'[19]Team Report'!BA27</f>
        <v>405632.98</v>
      </c>
      <c r="E12" s="65" t="n">
        <f aca="false">+C12/9*12</f>
        <v>540843.973333333</v>
      </c>
      <c r="F12" s="65"/>
      <c r="G12" s="65" t="n">
        <f aca="false">+$M$12*0.25+950000</f>
        <v>1660208</v>
      </c>
      <c r="J12" s="88" t="s">
        <v>83</v>
      </c>
      <c r="K12" s="50" t="n">
        <f aca="false">18495*1.2</f>
        <v>22194</v>
      </c>
      <c r="L12" s="50" t="n">
        <f aca="false">+L35</f>
        <v>128</v>
      </c>
      <c r="M12" s="60" t="n">
        <f aca="false">K12*L12</f>
        <v>2840832</v>
      </c>
      <c r="O12" s="65" t="n">
        <f aca="false">+G12/$G$29*$O$29</f>
        <v>12482.7669172932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'[19]Team Report'!BA28</f>
        <v>648740.17</v>
      </c>
      <c r="E13" s="65" t="n">
        <f aca="false">+C13/9*12</f>
        <v>864986.893333333</v>
      </c>
      <c r="F13" s="65"/>
      <c r="G13" s="65" t="n">
        <f aca="false">+$M$12*0.13+500000</f>
        <v>869308.16</v>
      </c>
      <c r="J13" s="88"/>
      <c r="M13" s="60"/>
      <c r="O13" s="65" t="n">
        <f aca="false">+G13/$G$29*$O$29</f>
        <v>6536.15157894737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+C14/9*12</f>
        <v>0</v>
      </c>
      <c r="F14" s="65"/>
      <c r="G14" s="65" t="n">
        <v>0</v>
      </c>
      <c r="J14" s="93" t="s">
        <v>129</v>
      </c>
      <c r="K14" s="69"/>
      <c r="L14" s="69"/>
      <c r="M14" s="70" t="n">
        <f aca="false">SUM(M9:M12)</f>
        <v>21013632</v>
      </c>
      <c r="O14" s="65" t="n">
        <f aca="false">+G14/$G$29*$O$29</f>
        <v>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'[19]Team Report'!BA33</f>
        <v>76876.32</v>
      </c>
      <c r="E15" s="65" t="n">
        <f aca="false">+C15/9*12</f>
        <v>102501.76</v>
      </c>
      <c r="F15" s="65"/>
      <c r="G15" s="65" t="n">
        <f aca="false">+$M$12*0.08+90000</f>
        <v>317266.56</v>
      </c>
      <c r="J15" s="27"/>
      <c r="O15" s="65" t="n">
        <f aca="false">+G15/$G$29*$O$29</f>
        <v>2385.46285714286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'[19]Team Report'!BA34</f>
        <v>0</v>
      </c>
      <c r="E16" s="65" t="n">
        <f aca="false">+C16/9*12</f>
        <v>0</v>
      </c>
      <c r="F16" s="65"/>
      <c r="G16" s="65" t="n">
        <v>0</v>
      </c>
      <c r="J16" s="27"/>
      <c r="L16" s="108"/>
      <c r="O16" s="65" t="n">
        <f aca="false">+G16/$G$29*$O$29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'[19]Team Report'!BA35</f>
        <v>0</v>
      </c>
      <c r="E17" s="65" t="n">
        <f aca="false">+C17/9*12</f>
        <v>0</v>
      </c>
      <c r="F17" s="65"/>
      <c r="G17" s="65" t="n">
        <v>0</v>
      </c>
      <c r="J17" s="0" t="s">
        <v>193</v>
      </c>
      <c r="K17" s="50" t="n">
        <v>49200</v>
      </c>
      <c r="L17" s="50" t="n">
        <v>0</v>
      </c>
      <c r="M17" s="50" t="n">
        <f aca="false">K17*L17</f>
        <v>0</v>
      </c>
      <c r="O17" s="65" t="n">
        <f aca="false">+G17/$G$29*$O$29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'[19]Team Report'!BA36</f>
        <v>5744.1</v>
      </c>
      <c r="E18" s="65" t="n">
        <f aca="false">+C18/9*12</f>
        <v>7658.8</v>
      </c>
      <c r="F18" s="65"/>
      <c r="G18" s="65" t="n">
        <v>0</v>
      </c>
      <c r="J18" s="0" t="s">
        <v>139</v>
      </c>
      <c r="K18" s="50" t="n">
        <v>57600</v>
      </c>
      <c r="L18" s="50" t="n">
        <v>0</v>
      </c>
      <c r="M18" s="50" t="n">
        <f aca="false">K18*L18</f>
        <v>0</v>
      </c>
      <c r="O18" s="65" t="n">
        <f aca="false">+G18/$G$29*$O$29</f>
        <v>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'[19]Team Report'!BA37</f>
        <v>67058.6</v>
      </c>
      <c r="E19" s="65" t="n">
        <f aca="false">+C19/9*12</f>
        <v>89411.4666666667</v>
      </c>
      <c r="F19" s="65"/>
      <c r="G19" s="65" t="n">
        <f aca="false">+$M$12*0.19+2000000</f>
        <v>2539758.08</v>
      </c>
      <c r="J19" s="0" t="s">
        <v>142</v>
      </c>
      <c r="K19" s="50" t="n">
        <v>60000</v>
      </c>
      <c r="L19" s="50" t="n">
        <v>3</v>
      </c>
      <c r="M19" s="50" t="n">
        <f aca="false">K19*L19</f>
        <v>180000</v>
      </c>
      <c r="O19" s="65" t="n">
        <f aca="false">+G19/$G$29*$O$29</f>
        <v>19095.9254135338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'[19]Team Report'!BA38</f>
        <v>0</v>
      </c>
      <c r="E20" s="65" t="n">
        <f aca="false">+C20/9*12</f>
        <v>0</v>
      </c>
      <c r="F20" s="65"/>
      <c r="G20" s="65" t="n">
        <v>0</v>
      </c>
      <c r="J20" s="0" t="s">
        <v>145</v>
      </c>
      <c r="K20" s="50" t="n">
        <v>78000</v>
      </c>
      <c r="L20" s="50" t="n">
        <v>24</v>
      </c>
      <c r="M20" s="50" t="n">
        <f aca="false">K20*L20</f>
        <v>1872000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'[19]Team Report'!BA42</f>
        <v>842429.76</v>
      </c>
      <c r="E21" s="65" t="n">
        <f aca="false">+C21/9*12</f>
        <v>1123239.68</v>
      </c>
      <c r="F21" s="65"/>
      <c r="G21" s="65" t="n">
        <f aca="false">2295000+6368166</f>
        <v>8663166</v>
      </c>
      <c r="J21" s="0" t="s">
        <v>148</v>
      </c>
      <c r="K21" s="50" t="n">
        <v>102000</v>
      </c>
      <c r="L21" s="50" t="n">
        <v>62</v>
      </c>
      <c r="M21" s="50" t="n">
        <f aca="false">K21*L21</f>
        <v>6324000</v>
      </c>
      <c r="O21" s="65" t="n">
        <f aca="false">+G21/$G$29*$O$29</f>
        <v>65136.5864661654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'[19]Team Report'!BA44</f>
        <v>6453.7</v>
      </c>
      <c r="E22" s="65" t="n">
        <f aca="false">+C22/9*12</f>
        <v>8604.93333333333</v>
      </c>
      <c r="F22" s="65"/>
      <c r="G22" s="65" t="n">
        <v>0</v>
      </c>
      <c r="J22" s="0" t="s">
        <v>268</v>
      </c>
      <c r="K22" s="50" t="n">
        <v>192000</v>
      </c>
      <c r="L22" s="50" t="n">
        <v>1</v>
      </c>
      <c r="M22" s="50" t="n">
        <f aca="false">K22*L22</f>
        <v>192000</v>
      </c>
      <c r="O22" s="65" t="n">
        <f aca="false">+G22/$G$29*$O$29</f>
        <v>0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14158713.55</v>
      </c>
      <c r="E23" s="74" t="n">
        <f aca="false">SUM(E8:E22)</f>
        <v>18878284.7333333</v>
      </c>
      <c r="F23" s="76"/>
      <c r="G23" s="74" t="n">
        <f aca="false">SUM(G8:G22)</f>
        <v>35822506.8</v>
      </c>
      <c r="J23" s="0" t="s">
        <v>269</v>
      </c>
      <c r="K23" s="50" t="n">
        <v>192000</v>
      </c>
      <c r="L23" s="50" t="n">
        <v>9</v>
      </c>
      <c r="M23" s="50" t="n">
        <f aca="false">K23*L23</f>
        <v>1728000</v>
      </c>
      <c r="O23" s="74" t="n">
        <f aca="false">SUM(O8:O22)</f>
        <v>269342.156390977</v>
      </c>
    </row>
    <row r="24" customFormat="false" ht="12.75" hidden="false" customHeight="false" outlineLevel="0" collapsed="false">
      <c r="J24" s="0" t="s">
        <v>157</v>
      </c>
      <c r="K24" s="50" t="n">
        <v>144000</v>
      </c>
      <c r="L24" s="50" t="n">
        <v>15</v>
      </c>
      <c r="M24" s="50" t="n">
        <f aca="false">K24*L24</f>
        <v>2160000</v>
      </c>
    </row>
    <row r="25" customFormat="false" ht="12.75" hidden="false" customHeight="false" outlineLevel="0" collapsed="false">
      <c r="B25" s="73" t="s">
        <v>7</v>
      </c>
      <c r="C25" s="109"/>
      <c r="E25" s="109" t="n">
        <v>111</v>
      </c>
      <c r="F25" s="3" t="n">
        <v>40</v>
      </c>
      <c r="G25" s="110" t="n">
        <v>133</v>
      </c>
      <c r="J25" s="0" t="s">
        <v>158</v>
      </c>
      <c r="K25" s="50" t="n">
        <v>168000</v>
      </c>
      <c r="L25" s="50" t="n">
        <v>7</v>
      </c>
      <c r="M25" s="50" t="n">
        <f aca="false">K25*L25</f>
        <v>1176000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159</v>
      </c>
      <c r="K26" s="50" t="n">
        <v>216000</v>
      </c>
      <c r="L26" s="50" t="n">
        <v>7</v>
      </c>
      <c r="M26" s="50" t="n">
        <f aca="false">K26*L26</f>
        <v>1512000</v>
      </c>
      <c r="O26" s="65"/>
    </row>
    <row r="27" customFormat="false" ht="12.75" hidden="false" customHeight="false" outlineLevel="0" collapsed="false">
      <c r="B27" s="73" t="s">
        <v>161</v>
      </c>
      <c r="C27" s="109"/>
      <c r="E27" s="109"/>
      <c r="F27" s="3"/>
      <c r="G27" s="109"/>
      <c r="J27" s="0" t="s">
        <v>160</v>
      </c>
      <c r="K27" s="50" t="n">
        <v>222000</v>
      </c>
      <c r="L27" s="50" t="n">
        <v>0</v>
      </c>
      <c r="M27" s="50" t="n">
        <f aca="false">K27*L27</f>
        <v>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162</v>
      </c>
      <c r="K28" s="50" t="n">
        <v>300000</v>
      </c>
      <c r="L28" s="50" t="n">
        <v>0</v>
      </c>
      <c r="M28" s="50" t="n">
        <f aca="false">K28*L28</f>
        <v>0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111</v>
      </c>
      <c r="F29" s="3"/>
      <c r="G29" s="109" t="n">
        <f aca="false">SUM(G25:G28)</f>
        <v>133</v>
      </c>
      <c r="L29" s="50" t="n">
        <f aca="false">SUM(L17:L28)</f>
        <v>128</v>
      </c>
      <c r="M29" s="50" t="n">
        <f aca="false">SUM(M17:M28)</f>
        <v>15144000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'[19]Team Report'!BA29</f>
        <v>-24140467.68</v>
      </c>
      <c r="E31" s="65" t="n">
        <v>0</v>
      </c>
      <c r="F31" s="65"/>
      <c r="J31" s="0" t="s">
        <v>249</v>
      </c>
      <c r="L31" s="78"/>
      <c r="M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'[19]Team Report'!BA30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'[19]Team Report'!BA31</f>
        <v>0</v>
      </c>
      <c r="E33" s="65" t="n">
        <f aca="false">(C33/9)*12</f>
        <v>0</v>
      </c>
      <c r="F33" s="65"/>
      <c r="J33" s="0" t="s">
        <v>270</v>
      </c>
      <c r="K33" s="50" t="n">
        <v>160000</v>
      </c>
      <c r="L33" s="50" t="n">
        <v>0</v>
      </c>
      <c r="M33" s="50" t="n">
        <f aca="false">K33*L33</f>
        <v>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'[19]Team Report'!BA39</f>
        <v>0</v>
      </c>
      <c r="E34" s="65" t="n">
        <f aca="false">(C34/9)*12</f>
        <v>0</v>
      </c>
      <c r="F34" s="65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'[19]Team Report'!BA40</f>
        <v>164920.93</v>
      </c>
      <c r="E35" s="65" t="n">
        <v>0</v>
      </c>
      <c r="F35" s="65"/>
      <c r="L35" s="50" t="n">
        <f aca="false">+L29+L33</f>
        <v>128</v>
      </c>
      <c r="M35" s="50" t="n">
        <f aca="false">M29*1.2+M33</f>
        <v>18172800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'[19]Team Report'!BA41</f>
        <v>945381.27</v>
      </c>
      <c r="E36" s="65" t="n">
        <v>0</v>
      </c>
      <c r="F36" s="65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'[19]Team Report'!BA43</f>
        <v>-5121278.52</v>
      </c>
      <c r="E37" s="65" t="n">
        <v>0</v>
      </c>
      <c r="F37" s="65"/>
      <c r="I37" s="17" t="s">
        <v>164</v>
      </c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'[19]Team Report'!BA45</f>
        <v>0</v>
      </c>
      <c r="E38" s="65" t="n">
        <f aca="false">(C38/9)*12</f>
        <v>0</v>
      </c>
      <c r="F38" s="65"/>
    </row>
    <row r="39" customFormat="false" ht="12.75" hidden="true" customHeight="false" outlineLevel="0" collapsed="false">
      <c r="A39" s="63" t="s">
        <v>130</v>
      </c>
      <c r="B39" s="64" t="s">
        <v>131</v>
      </c>
      <c r="C39" s="65" t="n">
        <v>24143776.43</v>
      </c>
      <c r="E39" s="65" t="n">
        <v>0</v>
      </c>
      <c r="F39" s="65"/>
      <c r="I39" s="0" t="s">
        <v>263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 t="n">
        <f aca="false">C23+C31+C32+C33+C34+C35+C36+C37+C38</f>
        <v>-13992730.45</v>
      </c>
    </row>
    <row r="46" customFormat="false" ht="12.75" hidden="false" customHeight="false" outlineLevel="0" collapsed="false">
      <c r="B46" s="64" t="s">
        <v>271</v>
      </c>
    </row>
    <row r="47" customFormat="false" ht="12.75" hidden="false" customHeight="false" outlineLevel="0" collapsed="false">
      <c r="B47" s="64" t="s">
        <v>272</v>
      </c>
    </row>
    <row r="48" customFormat="false" ht="12.75" hidden="false" customHeight="false" outlineLevel="0" collapsed="false">
      <c r="B48" s="64" t="s">
        <v>273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50" width="10.41"/>
    <col collapsed="false" customWidth="true" hidden="false" outlineLevel="0" max="12" min="12" style="50" width="10.85"/>
    <col collapsed="false" customWidth="true" hidden="false" outlineLevel="0" max="13" min="13" style="50" width="11.42"/>
  </cols>
  <sheetData>
    <row r="1" customFormat="false" ht="18" hidden="false" customHeight="false" outlineLevel="0" collapsed="false">
      <c r="B1" s="51" t="str">
        <f aca="false">'[27]Team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tr">
        <f aca="false">"IT EOL"</f>
        <v>IT EOL</v>
      </c>
      <c r="C2" s="51"/>
      <c r="D2" s="51"/>
      <c r="E2" s="51"/>
      <c r="F2" s="51"/>
      <c r="G2" s="51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J6" s="88"/>
      <c r="K6" s="80" t="s">
        <v>109</v>
      </c>
      <c r="L6" s="80" t="s">
        <v>110</v>
      </c>
      <c r="M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'[27]Team Report'!BA25</f>
        <v>10228335.79</v>
      </c>
      <c r="E8" s="65" t="n">
        <f aca="false">+C8/9*12</f>
        <v>13637781.0533333</v>
      </c>
      <c r="F8" s="65"/>
      <c r="G8" s="65" t="n">
        <f aca="false">SUM(M17:M28)+200000+100000</f>
        <v>5263200</v>
      </c>
      <c r="J8" s="88"/>
      <c r="M8" s="60"/>
      <c r="O8" s="65" t="n">
        <f aca="false">+G8/$G$29*$O$29</f>
        <v>119618.181818182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+C9/9*12</f>
        <v>0</v>
      </c>
      <c r="F9" s="65"/>
      <c r="G9" s="65" t="n">
        <f aca="false">+E9/9*12</f>
        <v>0</v>
      </c>
      <c r="J9" s="88" t="s">
        <v>120</v>
      </c>
      <c r="K9" s="50" t="n">
        <v>0</v>
      </c>
      <c r="L9" s="50" t="n">
        <f aca="false">L29+1</f>
        <v>44</v>
      </c>
      <c r="M9" s="60" t="n">
        <f aca="false">M33+M35</f>
        <v>6147840</v>
      </c>
      <c r="O9" s="65" t="n">
        <f aca="false">+G9/$G$29*$O$29</f>
        <v>0</v>
      </c>
    </row>
    <row r="10" customFormat="false" ht="12.75" hidden="false" customHeight="false" outlineLevel="0" collapsed="false">
      <c r="A10" s="63"/>
      <c r="B10" s="64" t="s">
        <v>234</v>
      </c>
      <c r="C10" s="65" t="n">
        <v>0</v>
      </c>
      <c r="E10" s="65" t="n">
        <f aca="false">+C10/9*12</f>
        <v>0</v>
      </c>
      <c r="F10" s="65"/>
      <c r="G10" s="65" t="n">
        <f aca="false">+E10/9*12</f>
        <v>0</v>
      </c>
      <c r="J10" s="88"/>
      <c r="M10" s="60"/>
      <c r="O10" s="65" t="n">
        <f aca="false">+G10/$G$29*$O$29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'[27]Team Report'!BA26</f>
        <v>1877442.13</v>
      </c>
      <c r="E11" s="65" t="n">
        <f aca="false">+C11/9*12</f>
        <v>2503256.17333333</v>
      </c>
      <c r="F11" s="65"/>
      <c r="G11" s="65" t="n">
        <f aca="false">+G8*0.2</f>
        <v>1052640</v>
      </c>
      <c r="J11" s="88"/>
      <c r="M11" s="60"/>
      <c r="O11" s="65" t="n">
        <f aca="false">+G11/$G$29*$O$29</f>
        <v>23923.6363636364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'[27]Team Report'!BA27</f>
        <v>405632.98</v>
      </c>
      <c r="E12" s="65" t="n">
        <f aca="false">(+C12/9*12)*1.2</f>
        <v>649012.768</v>
      </c>
      <c r="F12" s="65"/>
      <c r="G12" s="124" t="n">
        <f aca="false">+$M$12*0.25+50000+250000</f>
        <v>544134</v>
      </c>
      <c r="J12" s="88" t="s">
        <v>83</v>
      </c>
      <c r="K12" s="50" t="n">
        <f aca="false">18495*1.2</f>
        <v>22194</v>
      </c>
      <c r="L12" s="50" t="n">
        <f aca="false">L29+1</f>
        <v>44</v>
      </c>
      <c r="M12" s="60" t="n">
        <f aca="false">K12*L12</f>
        <v>976536</v>
      </c>
      <c r="O12" s="65" t="n">
        <f aca="false">+G12/$G$29*$O$29</f>
        <v>12366.6818181818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'[27]Team Report'!BA28</f>
        <v>648740.17</v>
      </c>
      <c r="E13" s="65" t="n">
        <f aca="false">(+C13/9*12)*1.2</f>
        <v>1037984.272</v>
      </c>
      <c r="F13" s="65"/>
      <c r="G13" s="65" t="n">
        <f aca="false">+$M$12*0.13+200000</f>
        <v>326949.68</v>
      </c>
      <c r="J13" s="88"/>
      <c r="M13" s="60"/>
      <c r="O13" s="65" t="n">
        <f aca="false">+G13/$G$29*$O$29</f>
        <v>7430.67454545455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(+C14/9*12)*1.2</f>
        <v>0</v>
      </c>
      <c r="F14" s="65"/>
      <c r="G14" s="65" t="n">
        <v>0</v>
      </c>
      <c r="J14" s="93" t="s">
        <v>129</v>
      </c>
      <c r="K14" s="69"/>
      <c r="L14" s="69"/>
      <c r="M14" s="70" t="n">
        <f aca="false">SUM(M9:M12)</f>
        <v>7124376</v>
      </c>
      <c r="O14" s="65" t="n">
        <f aca="false">+G14/$G$29*$O$29</f>
        <v>0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'[27]Team Report'!BA33</f>
        <v>76876.32</v>
      </c>
      <c r="E15" s="65" t="n">
        <f aca="false">(+C15/9*12)*1.2</f>
        <v>123002.112</v>
      </c>
      <c r="F15" s="65"/>
      <c r="G15" s="65" t="n">
        <f aca="false">+$M$12*0.08+100000</f>
        <v>178122.88</v>
      </c>
      <c r="J15" s="27"/>
      <c r="O15" s="65" t="n">
        <f aca="false">+G15/$G$29*$O$29</f>
        <v>4048.24727272727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'[27]Team Report'!BA34</f>
        <v>0</v>
      </c>
      <c r="E16" s="65" t="n">
        <f aca="false">(+C16/9*12)*1.2</f>
        <v>0</v>
      </c>
      <c r="F16" s="65"/>
      <c r="G16" s="65" t="n">
        <v>0</v>
      </c>
      <c r="J16" s="27"/>
      <c r="L16" s="108"/>
      <c r="O16" s="65" t="n">
        <f aca="false">+G16/$G$29*$O$29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'[27]Team Report'!BA35</f>
        <v>0</v>
      </c>
      <c r="E17" s="65" t="n">
        <f aca="false">(+C17/9*12)*1.2</f>
        <v>0</v>
      </c>
      <c r="F17" s="65"/>
      <c r="G17" s="65" t="n">
        <v>0</v>
      </c>
      <c r="J17" s="0" t="s">
        <v>193</v>
      </c>
      <c r="K17" s="50" t="n">
        <v>49200</v>
      </c>
      <c r="L17" s="50" t="n">
        <v>0</v>
      </c>
      <c r="M17" s="50" t="n">
        <f aca="false">K17*L17</f>
        <v>0</v>
      </c>
      <c r="O17" s="65" t="n">
        <f aca="false">+G17/$G$29*$O$29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'[27]Team Report'!BA36</f>
        <v>5744.1</v>
      </c>
      <c r="E18" s="65" t="n">
        <f aca="false">(+C18/9*12)*1.2</f>
        <v>9190.56</v>
      </c>
      <c r="F18" s="65"/>
      <c r="G18" s="65" t="n">
        <v>0</v>
      </c>
      <c r="J18" s="0" t="s">
        <v>139</v>
      </c>
      <c r="K18" s="50" t="n">
        <v>57600</v>
      </c>
      <c r="L18" s="50" t="n">
        <v>2</v>
      </c>
      <c r="M18" s="50" t="n">
        <f aca="false">K18*L18</f>
        <v>115200</v>
      </c>
      <c r="O18" s="65" t="n">
        <f aca="false">+G18/$G$29*$O$29</f>
        <v>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'[27]Team Report'!BA37</f>
        <v>67058.6</v>
      </c>
      <c r="E19" s="65" t="n">
        <f aca="false">(+C19/9*12)*1.2</f>
        <v>107293.76</v>
      </c>
      <c r="F19" s="65"/>
      <c r="G19" s="65" t="n">
        <f aca="false">+$M$12*0.19+100000</f>
        <v>285541.84</v>
      </c>
      <c r="J19" s="0" t="s">
        <v>142</v>
      </c>
      <c r="K19" s="50" t="n">
        <v>60000</v>
      </c>
      <c r="L19" s="50" t="n">
        <v>2</v>
      </c>
      <c r="M19" s="50" t="n">
        <f aca="false">K19*L19</f>
        <v>120000</v>
      </c>
      <c r="O19" s="65" t="n">
        <f aca="false">+G19/$G$29*$O$29</f>
        <v>6489.58727272727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'[27]Team Report'!BA38</f>
        <v>0</v>
      </c>
      <c r="E20" s="65" t="n">
        <f aca="false">(+C20/9*12)*1.2</f>
        <v>0</v>
      </c>
      <c r="F20" s="65"/>
      <c r="G20" s="65" t="n">
        <v>0</v>
      </c>
      <c r="J20" s="0" t="s">
        <v>145</v>
      </c>
      <c r="K20" s="50" t="n">
        <v>78000</v>
      </c>
      <c r="L20" s="50" t="n">
        <v>15</v>
      </c>
      <c r="M20" s="50" t="n">
        <f aca="false">K20*L20</f>
        <v>1170000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'[27]Team Report'!BA42</f>
        <v>842429.76</v>
      </c>
      <c r="E21" s="65" t="n">
        <f aca="false">(+C21/9*12)*1.2</f>
        <v>1347887.616</v>
      </c>
      <c r="F21" s="65"/>
      <c r="G21" s="65" t="n">
        <f aca="false">+$M$12*0.15+141124+150000+687307</f>
        <v>1124911.4</v>
      </c>
      <c r="J21" s="0" t="s">
        <v>148</v>
      </c>
      <c r="K21" s="50" t="n">
        <v>102000</v>
      </c>
      <c r="L21" s="50" t="n">
        <v>8</v>
      </c>
      <c r="M21" s="50" t="n">
        <f aca="false">K21*L21</f>
        <v>816000</v>
      </c>
      <c r="O21" s="65" t="n">
        <f aca="false">+G21/$G$29*$O$29</f>
        <v>25566.1681818182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'[27]Team Report'!BA44</f>
        <v>6453.7</v>
      </c>
      <c r="E22" s="125" t="n">
        <f aca="false">(+C22/9*12)*1.2</f>
        <v>10325.92</v>
      </c>
      <c r="F22" s="65"/>
      <c r="G22" s="65" t="n">
        <v>0</v>
      </c>
      <c r="J22" s="0" t="s">
        <v>151</v>
      </c>
      <c r="K22" s="50" t="n">
        <v>0</v>
      </c>
      <c r="L22" s="50" t="n">
        <v>0</v>
      </c>
      <c r="M22" s="50" t="n">
        <f aca="false">K22*L22</f>
        <v>0</v>
      </c>
      <c r="O22" s="65" t="n">
        <f aca="false">+G22/$G$29*$O$29</f>
        <v>0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14158713.55</v>
      </c>
      <c r="E23" s="74" t="n">
        <f aca="false">SUM(E8:E22)</f>
        <v>19425734.2346667</v>
      </c>
      <c r="F23" s="76"/>
      <c r="G23" s="74" t="n">
        <f aca="false">SUM(G8:G22)</f>
        <v>8775499.8</v>
      </c>
      <c r="J23" s="0" t="s">
        <v>154</v>
      </c>
      <c r="K23" s="50" t="n">
        <v>0</v>
      </c>
      <c r="L23" s="50" t="n">
        <v>0</v>
      </c>
      <c r="M23" s="50" t="n">
        <f aca="false">K23*L23</f>
        <v>0</v>
      </c>
      <c r="O23" s="74" t="n">
        <f aca="false">SUM(O8:O22)</f>
        <v>199443.177272727</v>
      </c>
    </row>
    <row r="24" customFormat="false" ht="12.75" hidden="false" customHeight="false" outlineLevel="0" collapsed="false">
      <c r="J24" s="0" t="s">
        <v>157</v>
      </c>
      <c r="K24" s="50" t="n">
        <v>144000</v>
      </c>
      <c r="L24" s="50" t="n">
        <v>6</v>
      </c>
      <c r="M24" s="50" t="n">
        <f aca="false">K24*L24</f>
        <v>864000</v>
      </c>
    </row>
    <row r="25" customFormat="false" ht="12.75" hidden="false" customHeight="false" outlineLevel="0" collapsed="false">
      <c r="B25" s="73" t="s">
        <v>7</v>
      </c>
      <c r="C25" s="109"/>
      <c r="E25" s="109" t="n">
        <v>0</v>
      </c>
      <c r="F25" s="3" t="n">
        <v>40</v>
      </c>
      <c r="G25" s="110" t="n">
        <f aca="false">+L12</f>
        <v>44</v>
      </c>
      <c r="J25" s="0" t="s">
        <v>158</v>
      </c>
      <c r="K25" s="50" t="n">
        <v>168000</v>
      </c>
      <c r="L25" s="50" t="n">
        <v>6</v>
      </c>
      <c r="M25" s="50" t="n">
        <f aca="false">K25*L25</f>
        <v>1008000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159</v>
      </c>
      <c r="K26" s="50" t="n">
        <v>216000</v>
      </c>
      <c r="L26" s="50" t="n">
        <v>3</v>
      </c>
      <c r="M26" s="50" t="n">
        <f aca="false">K26*L26</f>
        <v>648000</v>
      </c>
      <c r="O26" s="65"/>
    </row>
    <row r="27" customFormat="false" ht="12.75" hidden="false" customHeight="false" outlineLevel="0" collapsed="false">
      <c r="B27" s="73" t="s">
        <v>161</v>
      </c>
      <c r="C27" s="109"/>
      <c r="E27" s="109"/>
      <c r="F27" s="3"/>
      <c r="G27" s="109"/>
      <c r="J27" s="0" t="s">
        <v>160</v>
      </c>
      <c r="K27" s="50" t="n">
        <v>222000</v>
      </c>
      <c r="L27" s="50" t="n">
        <v>1</v>
      </c>
      <c r="M27" s="50" t="n">
        <f aca="false">K27*L27</f>
        <v>222000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162</v>
      </c>
      <c r="K28" s="50" t="n">
        <v>300000</v>
      </c>
      <c r="L28" s="50" t="n">
        <v>0</v>
      </c>
      <c r="M28" s="50" t="n">
        <f aca="false">K28*L28</f>
        <v>0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0</v>
      </c>
      <c r="F29" s="3"/>
      <c r="G29" s="109" t="n">
        <f aca="false">SUM(G25:G28)</f>
        <v>44</v>
      </c>
      <c r="L29" s="50" t="n">
        <f aca="false">SUM(L17:L28)</f>
        <v>43</v>
      </c>
      <c r="M29" s="50" t="n">
        <f aca="false">SUM(M17:M28)</f>
        <v>4963200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'[27]Team Report'!BA29</f>
        <v>-24140467.68</v>
      </c>
      <c r="E31" s="65" t="n">
        <v>0</v>
      </c>
      <c r="F31" s="65"/>
      <c r="J31" s="0" t="s">
        <v>249</v>
      </c>
      <c r="L31" s="78"/>
      <c r="M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'[27]Team Report'!BA30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'[27]Team Report'!BA31</f>
        <v>0</v>
      </c>
      <c r="E33" s="65" t="n">
        <f aca="false">(C33/9)*12</f>
        <v>0</v>
      </c>
      <c r="F33" s="65"/>
      <c r="M33" s="50" t="n">
        <f aca="false">M29*1.2</f>
        <v>5955840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'[27]Team Report'!BA39</f>
        <v>0</v>
      </c>
      <c r="E34" s="65" t="n">
        <v>0</v>
      </c>
      <c r="F34" s="65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'[27]Team Report'!BA40</f>
        <v>164920.93</v>
      </c>
      <c r="E35" s="65" t="n">
        <v>0</v>
      </c>
      <c r="F35" s="65"/>
      <c r="J35" s="0" t="s">
        <v>324</v>
      </c>
      <c r="K35" s="50" t="n">
        <v>192000</v>
      </c>
      <c r="L35" s="50" t="n">
        <v>1</v>
      </c>
      <c r="M35" s="50" t="n">
        <f aca="false">K35*L35</f>
        <v>192000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'[27]Team Report'!BA41</f>
        <v>945381.27</v>
      </c>
      <c r="E36" s="65" t="n">
        <v>0</v>
      </c>
      <c r="F36" s="65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'[27]Team Report'!BA43</f>
        <v>-5121278.52</v>
      </c>
      <c r="E37" s="65" t="n">
        <v>0</v>
      </c>
      <c r="F37" s="65"/>
      <c r="I37" s="17" t="s">
        <v>164</v>
      </c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'[27]Team Report'!BA45</f>
        <v>0</v>
      </c>
      <c r="E38" s="65" t="n">
        <f aca="false">(C38/9)*12</f>
        <v>0</v>
      </c>
      <c r="F38" s="65"/>
    </row>
    <row r="39" customFormat="false" ht="12.75" hidden="true" customHeight="false" outlineLevel="0" collapsed="false">
      <c r="A39" s="63" t="s">
        <v>130</v>
      </c>
      <c r="B39" s="64" t="s">
        <v>131</v>
      </c>
      <c r="C39" s="65" t="n">
        <v>24143776.43</v>
      </c>
      <c r="E39" s="65" t="n">
        <v>0</v>
      </c>
      <c r="F39" s="65"/>
      <c r="I39" s="0" t="s">
        <v>263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103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50" width="10.41"/>
    <col collapsed="false" customWidth="true" hidden="true" outlineLevel="0" max="12" min="12" style="50" width="10.85"/>
    <col collapsed="false" customWidth="true" hidden="true" outlineLevel="0" max="13" min="13" style="50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51" t="str">
        <f aca="false">'[19]Team Report'!B1</f>
        <v>Enron North America</v>
      </c>
      <c r="C1" s="51"/>
      <c r="D1" s="51"/>
      <c r="E1" s="51"/>
      <c r="F1" s="51"/>
      <c r="G1" s="51"/>
      <c r="H1" s="53"/>
      <c r="I1" s="53"/>
      <c r="J1" s="53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325</v>
      </c>
      <c r="C2" s="51"/>
      <c r="D2" s="51"/>
      <c r="E2" s="51"/>
      <c r="F2" s="51"/>
      <c r="G2" s="51"/>
      <c r="H2" s="53"/>
      <c r="I2" s="53"/>
      <c r="J2" s="53"/>
      <c r="K2" s="52"/>
      <c r="L2" s="52"/>
      <c r="M2" s="52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" hidden="false" customHeight="false" outlineLevel="0" collapsed="false">
      <c r="B3" s="51" t="s">
        <v>1</v>
      </c>
      <c r="C3" s="51"/>
      <c r="D3" s="51"/>
      <c r="E3" s="51"/>
      <c r="F3" s="51"/>
      <c r="G3" s="51"/>
      <c r="H3" s="55"/>
      <c r="I3" s="55"/>
      <c r="J3" s="55"/>
      <c r="K3" s="52"/>
      <c r="L3" s="52"/>
      <c r="M3" s="5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3.5" hidden="false" customHeight="false" outlineLevel="0" collapsed="false">
      <c r="J4" s="105"/>
      <c r="K4" s="105"/>
      <c r="L4" s="105"/>
      <c r="M4" s="105"/>
    </row>
    <row r="5" customFormat="false" ht="12.75" hidden="false" customHeight="false" outlineLevel="0" collapsed="false">
      <c r="J5" s="85"/>
      <c r="K5" s="57"/>
      <c r="L5" s="57"/>
      <c r="M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/>
      <c r="G6" s="101" t="n">
        <v>2002</v>
      </c>
      <c r="J6" s="88"/>
      <c r="K6" s="80" t="s">
        <v>109</v>
      </c>
      <c r="L6" s="80" t="s">
        <v>110</v>
      </c>
      <c r="M6" s="106" t="s">
        <v>232</v>
      </c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J7" s="88"/>
      <c r="M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107" t="n">
        <f aca="false">'[19]Team Report'!BA25</f>
        <v>10228335.79</v>
      </c>
      <c r="E8" s="65" t="n">
        <f aca="false">+C8/9*12</f>
        <v>13637781.0533333</v>
      </c>
      <c r="F8" s="65"/>
      <c r="G8" s="65" t="e">
        <f aca="false">+#REF!+#REF!</f>
        <v>#REF!</v>
      </c>
      <c r="J8" s="88"/>
      <c r="M8" s="60"/>
      <c r="O8" s="65" t="e">
        <f aca="false">+G8/$G$29*$O$29</f>
        <v>#REF!</v>
      </c>
    </row>
    <row r="9" customFormat="false" ht="12.75" hidden="true" customHeight="false" outlineLevel="0" collapsed="false">
      <c r="A9" s="63"/>
      <c r="B9" s="64" t="s">
        <v>121</v>
      </c>
      <c r="C9" s="65" t="n">
        <v>0</v>
      </c>
      <c r="E9" s="65" t="n">
        <f aca="false">+C9/9*12</f>
        <v>0</v>
      </c>
      <c r="F9" s="65"/>
      <c r="G9" s="65" t="e">
        <f aca="false">+#REF!+#REF!</f>
        <v>#REF!</v>
      </c>
      <c r="J9" s="88" t="s">
        <v>120</v>
      </c>
      <c r="K9" s="50" t="n">
        <v>0</v>
      </c>
      <c r="L9" s="50" t="n">
        <f aca="false">+L35</f>
        <v>140</v>
      </c>
      <c r="M9" s="60" t="n">
        <f aca="false">M35</f>
        <v>20197440</v>
      </c>
      <c r="O9" s="65" t="e">
        <f aca="false">+G9/$G$29*$O$29</f>
        <v>#REF!</v>
      </c>
    </row>
    <row r="10" customFormat="false" ht="12.75" hidden="false" customHeight="false" outlineLevel="0" collapsed="false">
      <c r="A10" s="63"/>
      <c r="B10" s="64" t="s">
        <v>254</v>
      </c>
      <c r="C10" s="65" t="n">
        <v>0</v>
      </c>
      <c r="E10" s="65" t="n">
        <f aca="false">+C10/9*12</f>
        <v>0</v>
      </c>
      <c r="F10" s="65"/>
      <c r="G10" s="65" t="e">
        <f aca="false">+#REF!+#REF!</f>
        <v>#REF!</v>
      </c>
      <c r="J10" s="88"/>
      <c r="M10" s="60"/>
      <c r="O10" s="65" t="e">
        <f aca="false">+G10/$G$29*$O$29</f>
        <v>#REF!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'[19]Team Report'!BA26</f>
        <v>1877442.13</v>
      </c>
      <c r="E11" s="65" t="n">
        <f aca="false">+C11/9*12</f>
        <v>2503256.17333333</v>
      </c>
      <c r="F11" s="65"/>
      <c r="G11" s="65" t="e">
        <f aca="false">+#REF!+#REF!</f>
        <v>#REF!</v>
      </c>
      <c r="J11" s="88"/>
      <c r="M11" s="60"/>
      <c r="O11" s="65" t="e">
        <f aca="false">+G11/$G$29*$O$29</f>
        <v>#REF!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'[19]Team Report'!BA27</f>
        <v>405632.98</v>
      </c>
      <c r="E12" s="65" t="n">
        <f aca="false">+C12/9*12</f>
        <v>540843.973333333</v>
      </c>
      <c r="F12" s="65"/>
      <c r="G12" s="65" t="e">
        <f aca="false">+#REF!+#REF!</f>
        <v>#REF!</v>
      </c>
      <c r="J12" s="88" t="s">
        <v>83</v>
      </c>
      <c r="K12" s="50" t="n">
        <f aca="false">18495*1.2</f>
        <v>22194</v>
      </c>
      <c r="L12" s="50" t="n">
        <f aca="false">+L35</f>
        <v>140</v>
      </c>
      <c r="M12" s="60" t="n">
        <f aca="false">K12*L12</f>
        <v>3107160</v>
      </c>
      <c r="O12" s="65" t="e">
        <f aca="false">+G12/$G$29*$O$29</f>
        <v>#REF!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'[19]Team Report'!BA28</f>
        <v>648740.17</v>
      </c>
      <c r="E13" s="65" t="n">
        <f aca="false">+C13/9*12</f>
        <v>864986.893333333</v>
      </c>
      <c r="F13" s="65"/>
      <c r="G13" s="65" t="e">
        <f aca="false">+#REF!+#REF!</f>
        <v>#REF!</v>
      </c>
      <c r="J13" s="88"/>
      <c r="M13" s="60"/>
      <c r="O13" s="65" t="e">
        <f aca="false">+G13/$G$29*$O$29</f>
        <v>#REF!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v>0</v>
      </c>
      <c r="E14" s="65" t="n">
        <f aca="false">+C14/9*12</f>
        <v>0</v>
      </c>
      <c r="F14" s="65"/>
      <c r="G14" s="65" t="e">
        <f aca="false">+#REF!+#REF!</f>
        <v>#REF!</v>
      </c>
      <c r="J14" s="93" t="s">
        <v>129</v>
      </c>
      <c r="K14" s="69"/>
      <c r="L14" s="69"/>
      <c r="M14" s="70" t="n">
        <f aca="false">SUM(M9:M12)</f>
        <v>23304600</v>
      </c>
      <c r="O14" s="65" t="e">
        <f aca="false">+G14/$G$29*$O$29</f>
        <v>#REF!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'[19]Team Report'!BA33</f>
        <v>76876.32</v>
      </c>
      <c r="E15" s="65" t="n">
        <f aca="false">+C15/9*12</f>
        <v>102501.76</v>
      </c>
      <c r="F15" s="65"/>
      <c r="G15" s="65" t="e">
        <f aca="false">+#REF!+#REF!</f>
        <v>#REF!</v>
      </c>
      <c r="J15" s="27"/>
      <c r="O15" s="65" t="e">
        <f aca="false">+G15/$G$29*$O$29</f>
        <v>#REF!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'[19]Team Report'!BA34</f>
        <v>0</v>
      </c>
      <c r="E16" s="65" t="n">
        <f aca="false">+C16/9*12</f>
        <v>0</v>
      </c>
      <c r="F16" s="65"/>
      <c r="G16" s="65" t="e">
        <f aca="false">+#REF!+#REF!</f>
        <v>#REF!</v>
      </c>
      <c r="J16" s="27"/>
      <c r="L16" s="108"/>
      <c r="O16" s="65" t="e">
        <f aca="false">+G16/$G$29*$O$29</f>
        <v>#REF!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'[19]Team Report'!BA35</f>
        <v>0</v>
      </c>
      <c r="E17" s="65" t="n">
        <f aca="false">+C17/9*12</f>
        <v>0</v>
      </c>
      <c r="F17" s="65"/>
      <c r="G17" s="65" t="e">
        <f aca="false">+#REF!+#REF!</f>
        <v>#REF!</v>
      </c>
      <c r="J17" s="0" t="s">
        <v>193</v>
      </c>
      <c r="K17" s="50" t="n">
        <v>49200</v>
      </c>
      <c r="L17" s="50" t="n">
        <f aca="false">+'IT Dev'!L17+'IT EOL'!L17</f>
        <v>0</v>
      </c>
      <c r="M17" s="50" t="n">
        <f aca="false">K17*L17</f>
        <v>0</v>
      </c>
      <c r="O17" s="65" t="e">
        <f aca="false">+G17/$G$29*$O$29</f>
        <v>#REF!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'[19]Team Report'!BA36</f>
        <v>5744.1</v>
      </c>
      <c r="E18" s="65" t="n">
        <f aca="false">+C18/9*12</f>
        <v>7658.8</v>
      </c>
      <c r="F18" s="65"/>
      <c r="G18" s="65" t="e">
        <f aca="false">+#REF!+#REF!</f>
        <v>#REF!</v>
      </c>
      <c r="J18" s="0" t="s">
        <v>139</v>
      </c>
      <c r="K18" s="50" t="n">
        <v>57600</v>
      </c>
      <c r="L18" s="50" t="n">
        <v>2</v>
      </c>
      <c r="M18" s="50" t="n">
        <f aca="false">K18*L18</f>
        <v>115200</v>
      </c>
      <c r="O18" s="65" t="e">
        <f aca="false">+G18/$G$29*$O$29</f>
        <v>#REF!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'[19]Team Report'!BA37</f>
        <v>67058.6</v>
      </c>
      <c r="E19" s="65" t="n">
        <f aca="false">+C19/9*12</f>
        <v>89411.4666666667</v>
      </c>
      <c r="F19" s="65"/>
      <c r="G19" s="65" t="e">
        <f aca="false">+#REF!+#REF!</f>
        <v>#REF!</v>
      </c>
      <c r="J19" s="0" t="s">
        <v>142</v>
      </c>
      <c r="K19" s="50" t="n">
        <v>60000</v>
      </c>
      <c r="L19" s="50" t="n">
        <v>2</v>
      </c>
      <c r="M19" s="50" t="n">
        <f aca="false">K19*L19</f>
        <v>120000</v>
      </c>
      <c r="O19" s="65" t="e">
        <f aca="false">+G19/$G$29*$O$29</f>
        <v>#REF!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'[19]Team Report'!BA38</f>
        <v>0</v>
      </c>
      <c r="E20" s="65" t="n">
        <f aca="false">+C20/9*12</f>
        <v>0</v>
      </c>
      <c r="F20" s="65"/>
      <c r="G20" s="65" t="e">
        <f aca="false">+#REF!+#REF!</f>
        <v>#REF!</v>
      </c>
      <c r="J20" s="0" t="s">
        <v>145</v>
      </c>
      <c r="K20" s="50" t="n">
        <v>78000</v>
      </c>
      <c r="L20" s="50" t="n">
        <v>29</v>
      </c>
      <c r="M20" s="50" t="n">
        <f aca="false">K20*L20</f>
        <v>2262000</v>
      </c>
      <c r="O20" s="65" t="e">
        <f aca="false">+G20/$G$29*$O$29</f>
        <v>#REF!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'[19]Team Report'!BA42</f>
        <v>842429.76</v>
      </c>
      <c r="E21" s="65" t="n">
        <f aca="false">+C21/9*12</f>
        <v>1123239.68</v>
      </c>
      <c r="F21" s="65"/>
      <c r="G21" s="65" t="e">
        <f aca="false">+#REF!+#REF!</f>
        <v>#REF!</v>
      </c>
      <c r="J21" s="0" t="s">
        <v>148</v>
      </c>
      <c r="K21" s="50" t="n">
        <v>102000</v>
      </c>
      <c r="L21" s="50" t="n">
        <v>60</v>
      </c>
      <c r="M21" s="50" t="n">
        <f aca="false">K21*L21</f>
        <v>6120000</v>
      </c>
      <c r="O21" s="65" t="e">
        <f aca="false">+G21/$G$29*$O$29</f>
        <v>#REF!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'[19]Team Report'!BA44</f>
        <v>6453.7</v>
      </c>
      <c r="E22" s="65" t="n">
        <f aca="false">+C22/9*12</f>
        <v>8604.93333333333</v>
      </c>
      <c r="F22" s="65"/>
      <c r="G22" s="65" t="e">
        <f aca="false">+#REF!+#REF!</f>
        <v>#REF!</v>
      </c>
      <c r="J22" s="0" t="s">
        <v>268</v>
      </c>
      <c r="K22" s="50" t="n">
        <v>192000</v>
      </c>
      <c r="L22" s="50" t="n">
        <v>7</v>
      </c>
      <c r="M22" s="50" t="n">
        <f aca="false">K22*L22</f>
        <v>1344000</v>
      </c>
      <c r="O22" s="65" t="e">
        <f aca="false">+G22/$G$29*$O$29</f>
        <v>#REF!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14158713.55</v>
      </c>
      <c r="E23" s="74" t="n">
        <f aca="false">SUM(E8:E22)</f>
        <v>18878284.7333333</v>
      </c>
      <c r="F23" s="76"/>
      <c r="G23" s="74" t="e">
        <f aca="false">SUM(G8:G22)</f>
        <v>#REF!</v>
      </c>
      <c r="J23" s="0" t="s">
        <v>269</v>
      </c>
      <c r="K23" s="50" t="n">
        <v>192000</v>
      </c>
      <c r="L23" s="50" t="n">
        <f aca="false">3+1</f>
        <v>4</v>
      </c>
      <c r="M23" s="50" t="n">
        <f aca="false">K23*L23</f>
        <v>768000</v>
      </c>
      <c r="O23" s="74" t="e">
        <f aca="false">SUM(O8:O22)</f>
        <v>#REF!</v>
      </c>
    </row>
    <row r="24" customFormat="false" ht="12.75" hidden="false" customHeight="false" outlineLevel="0" collapsed="false">
      <c r="J24" s="0" t="s">
        <v>157</v>
      </c>
      <c r="K24" s="50" t="n">
        <v>144000</v>
      </c>
      <c r="L24" s="50" t="n">
        <v>16</v>
      </c>
      <c r="M24" s="50" t="n">
        <f aca="false">K24*L24</f>
        <v>2304000</v>
      </c>
    </row>
    <row r="25" customFormat="false" ht="12.75" hidden="false" customHeight="false" outlineLevel="0" collapsed="false">
      <c r="B25" s="73" t="s">
        <v>7</v>
      </c>
      <c r="C25" s="109"/>
      <c r="E25" s="109" t="n">
        <v>111</v>
      </c>
      <c r="F25" s="3" t="n">
        <v>40</v>
      </c>
      <c r="G25" s="110" t="n">
        <v>199</v>
      </c>
      <c r="J25" s="0" t="s">
        <v>158</v>
      </c>
      <c r="K25" s="50" t="n">
        <v>168000</v>
      </c>
      <c r="L25" s="50" t="n">
        <v>11</v>
      </c>
      <c r="M25" s="50" t="n">
        <f aca="false">K25*L25</f>
        <v>1848000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159</v>
      </c>
      <c r="K26" s="50" t="n">
        <v>216000</v>
      </c>
      <c r="L26" s="50" t="n">
        <v>8</v>
      </c>
      <c r="M26" s="50" t="n">
        <f aca="false">K26*L26</f>
        <v>1728000</v>
      </c>
      <c r="O26" s="65"/>
    </row>
    <row r="27" customFormat="false" ht="12.75" hidden="false" customHeight="false" outlineLevel="0" collapsed="false">
      <c r="B27" s="73" t="s">
        <v>161</v>
      </c>
      <c r="C27" s="109"/>
      <c r="E27" s="109"/>
      <c r="F27" s="3"/>
      <c r="G27" s="109"/>
      <c r="J27" s="0" t="s">
        <v>160</v>
      </c>
      <c r="K27" s="50" t="n">
        <v>222000</v>
      </c>
      <c r="L27" s="50" t="n">
        <v>1</v>
      </c>
      <c r="M27" s="50" t="n">
        <f aca="false">K27*L27</f>
        <v>222000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162</v>
      </c>
      <c r="K28" s="50" t="n">
        <v>300000</v>
      </c>
      <c r="L28" s="50" t="n">
        <f aca="false">+'IT Dev'!L28+'IT EOL'!L28</f>
        <v>0</v>
      </c>
      <c r="M28" s="50" t="n">
        <f aca="false">K28*L28</f>
        <v>0</v>
      </c>
    </row>
    <row r="29" customFormat="false" ht="12.75" hidden="false" customHeight="false" outlineLevel="0" collapsed="false">
      <c r="B29" s="73" t="s">
        <v>163</v>
      </c>
      <c r="C29" s="109"/>
      <c r="E29" s="109" t="n">
        <f aca="false">SUM(E25:E28)</f>
        <v>111</v>
      </c>
      <c r="F29" s="3"/>
      <c r="G29" s="109" t="n">
        <f aca="false">SUM(G25:G28)</f>
        <v>199</v>
      </c>
      <c r="L29" s="50" t="n">
        <f aca="false">SUM(L17:L28)</f>
        <v>140</v>
      </c>
      <c r="M29" s="50" t="n">
        <f aca="false">SUM(M17:M28)</f>
        <v>16831200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'[19]Team Report'!BA29</f>
        <v>-24140467.68</v>
      </c>
      <c r="E31" s="65" t="n">
        <v>0</v>
      </c>
      <c r="F31" s="65"/>
      <c r="J31" s="0" t="s">
        <v>249</v>
      </c>
      <c r="L31" s="78"/>
      <c r="M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'[19]Team Report'!BA30</f>
        <v>0</v>
      </c>
      <c r="E32" s="65" t="n">
        <f aca="false">(C32/9)*12</f>
        <v>0</v>
      </c>
      <c r="F32" s="65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'[19]Team Report'!BA31</f>
        <v>0</v>
      </c>
      <c r="E33" s="65" t="n">
        <f aca="false">(C33/9)*12</f>
        <v>0</v>
      </c>
      <c r="F33" s="65"/>
      <c r="J33" s="0" t="s">
        <v>270</v>
      </c>
      <c r="K33" s="50" t="n">
        <v>160000</v>
      </c>
      <c r="L33" s="50" t="n">
        <v>0</v>
      </c>
      <c r="M33" s="50" t="n">
        <f aca="false">K33*L33</f>
        <v>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'[19]Team Report'!BA39</f>
        <v>0</v>
      </c>
      <c r="E34" s="65" t="n">
        <f aca="false">(C34/9)*12</f>
        <v>0</v>
      </c>
      <c r="F34" s="65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'[19]Team Report'!BA40</f>
        <v>164920.93</v>
      </c>
      <c r="E35" s="65" t="n">
        <v>0</v>
      </c>
      <c r="F35" s="65"/>
      <c r="L35" s="50" t="n">
        <f aca="false">+L29+L33</f>
        <v>140</v>
      </c>
      <c r="M35" s="50" t="n">
        <f aca="false">M29*1.2+M33</f>
        <v>20197440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'[19]Team Report'!BA41</f>
        <v>945381.27</v>
      </c>
      <c r="E36" s="65" t="n">
        <v>0</v>
      </c>
      <c r="F36" s="65"/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'[19]Team Report'!BA43</f>
        <v>-5121278.52</v>
      </c>
      <c r="E37" s="65" t="n">
        <v>0</v>
      </c>
      <c r="F37" s="65"/>
      <c r="I37" s="17" t="s">
        <v>164</v>
      </c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'[19]Team Report'!BA45</f>
        <v>0</v>
      </c>
      <c r="E38" s="65" t="n">
        <f aca="false">(C38/9)*12</f>
        <v>0</v>
      </c>
      <c r="F38" s="65"/>
    </row>
    <row r="39" customFormat="false" ht="12.75" hidden="true" customHeight="false" outlineLevel="0" collapsed="false">
      <c r="A39" s="63" t="s">
        <v>130</v>
      </c>
      <c r="B39" s="64" t="s">
        <v>131</v>
      </c>
      <c r="C39" s="65" t="n">
        <v>24143776.43</v>
      </c>
      <c r="E39" s="65" t="n">
        <v>0</v>
      </c>
      <c r="F39" s="65"/>
      <c r="I39" s="0" t="s">
        <v>263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3" t="n">
        <f aca="false">C23+C31+C32+C33+C34+C35+C36+C37+C38</f>
        <v>-13992730.45</v>
      </c>
    </row>
    <row r="46" customFormat="false" ht="12.75" hidden="false" customHeight="false" outlineLevel="0" collapsed="false">
      <c r="B46" s="64" t="s">
        <v>326</v>
      </c>
    </row>
    <row r="47" customFormat="false" ht="12.75" hidden="false" customHeight="false" outlineLevel="0" collapsed="false">
      <c r="B47" s="64"/>
    </row>
    <row r="48" customFormat="false" ht="12.75" hidden="false" customHeight="false" outlineLevel="0" collapsed="false">
      <c r="B48" s="64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251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+'Competitive Ana'!F8+'Gas - Fund'!H8+'East - Fund'!F8</f>
        <v>1316380</v>
      </c>
      <c r="I8" s="59" t="s">
        <v>120</v>
      </c>
      <c r="J8" s="50" t="n">
        <v>0</v>
      </c>
      <c r="L8" s="60" t="n">
        <f aca="false">L30</f>
        <v>2208096</v>
      </c>
      <c r="Q8" s="65" t="n">
        <f aca="false">+H8/$H$29*$Q$29</f>
        <v>50630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f aca="false">+'Competitive Ana'!F9+'Gas - Fund'!H9+'East - Fund'!F9</f>
        <v>0</v>
      </c>
      <c r="I9" s="59"/>
      <c r="L9" s="60"/>
      <c r="Q9" s="65" t="n">
        <f aca="false">+H9/$H$29*$Q$29</f>
        <v>0</v>
      </c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+'Competitive Ana'!F10+'Gas - Fund'!H10+'East - Fund'!F10</f>
        <v>1137500</v>
      </c>
      <c r="I10" s="59"/>
      <c r="L10" s="60"/>
      <c r="Q10" s="65" t="n">
        <f aca="false">+H10/$H$29*$Q$29</f>
        <v>43750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+'Competitive Ana'!F11+'Gas - Fund'!H11+'East - Fund'!F11</f>
        <v>490776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17</v>
      </c>
      <c r="L11" s="60" t="n">
        <f aca="false">J11*K11</f>
        <v>820593.08125</v>
      </c>
      <c r="Q11" s="65" t="n">
        <f aca="false">+H11/$H$29*$Q$29</f>
        <v>18876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+'Competitive Ana'!F12+'Gas - Fund'!H12+'East - Fund'!F12</f>
        <v>149533.479174265</v>
      </c>
      <c r="I12" s="59"/>
      <c r="L12" s="60"/>
      <c r="Q12" s="65" t="n">
        <f aca="false">+H12/$H$29*$Q$29</f>
        <v>5751.28766054867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+'Competitive Ana'!F13+'Gas - Fund'!H13+'East - Fund'!F13</f>
        <v>210573.79887386</v>
      </c>
      <c r="I13" s="68" t="s">
        <v>129</v>
      </c>
      <c r="J13" s="69"/>
      <c r="K13" s="69"/>
      <c r="L13" s="70" t="n">
        <f aca="false">L8+L11</f>
        <v>3028689.08125</v>
      </c>
      <c r="N13" s="50" t="n">
        <v>24109311.029375</v>
      </c>
      <c r="P13" s="71" t="n">
        <f aca="false">N13-L13</f>
        <v>21080621.948125</v>
      </c>
      <c r="Q13" s="65" t="n">
        <f aca="false">+H13/$H$29*$Q$29</f>
        <v>8098.99226437924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+'Competitive Ana'!F14+'Gas - Fund'!H14+'East - Fund'!F14</f>
        <v>1955600.00942857</v>
      </c>
      <c r="Q14" s="65" t="n">
        <f aca="false">+H14/$H$29*$Q$29</f>
        <v>75215.384978022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+'Competitive Ana'!F15+'Gas - Fund'!H15+'East - Fund'!F15</f>
        <v>26135.7059316109</v>
      </c>
      <c r="Q15" s="65" t="n">
        <f aca="false">+H15/$H$29*$Q$29</f>
        <v>1005.21945890811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+'Competitive Ana'!F16+'Gas - Fund'!H16+'East - Fund'!F16</f>
        <v>0</v>
      </c>
      <c r="I16" s="50" t="s">
        <v>136</v>
      </c>
      <c r="J16" s="50" t="n">
        <v>33000</v>
      </c>
      <c r="K16" s="50" t="n">
        <v>1</v>
      </c>
      <c r="L16" s="50" t="n">
        <f aca="false">J16*K16</f>
        <v>33000</v>
      </c>
      <c r="Q16" s="65" t="n">
        <f aca="false">+H16/$H$29*$Q$29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+'Competitive Ana'!F17+'Gas - Fund'!H17+'East - Fund'!F17</f>
        <v>1109.32624113475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 t="n">
        <f aca="false">+H17/$H$29*$Q$29</f>
        <v>42.6663938897981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+'Competitive Ana'!F18+'Gas - Fund'!H18+'East - Fund'!F18</f>
        <v>12773.5936033435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 t="n">
        <f aca="false">+H18/$H$29*$Q$29</f>
        <v>491.292061667056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+'Competitive Ana'!F19+'Gas - Fund'!H19+'East - Fund'!F19</f>
        <v>118934.137338399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 t="n">
        <f aca="false">+H19/$H$29*$Q$29</f>
        <v>4574.38989763074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+'Competitive Ana'!F20+'Gas - Fund'!H20+'East - Fund'!F20</f>
        <v>10.5023044579534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 t="n">
        <f aca="false">+H20/$H$29*$Q$29</f>
        <v>0.403934786844361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+'Competitive Ana'!F21+'Gas - Fund'!H21+'East - Fund'!F21</f>
        <v>122393.653076494</v>
      </c>
      <c r="I21" s="50" t="s">
        <v>151</v>
      </c>
      <c r="J21" s="50" t="n">
        <v>60500</v>
      </c>
      <c r="K21" s="50" t="n">
        <v>6</v>
      </c>
      <c r="L21" s="50" t="n">
        <f aca="false">J21*K21</f>
        <v>363000</v>
      </c>
      <c r="Q21" s="65" t="n">
        <f aca="false">+H21/$H$29*$Q$29</f>
        <v>4707.44819524978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f aca="false">+'Competitive Ana'!F22+'Gas - Fund'!H22+'East - Fund'!F22</f>
        <v>131310.92964843</v>
      </c>
      <c r="I22" s="50" t="s">
        <v>154</v>
      </c>
      <c r="J22" s="50" t="n">
        <v>89100</v>
      </c>
      <c r="K22" s="50" t="n">
        <v>4</v>
      </c>
      <c r="L22" s="50" t="n">
        <f aca="false">J22*K22</f>
        <v>356400</v>
      </c>
      <c r="Q22" s="65" t="n">
        <f aca="false">+H22/$H$29*$Q$29</f>
        <v>5050.42037109345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5673031.13562057</v>
      </c>
      <c r="I23" s="50" t="s">
        <v>157</v>
      </c>
      <c r="J23" s="50" t="n">
        <v>110000</v>
      </c>
      <c r="K23" s="50" t="n">
        <v>4</v>
      </c>
      <c r="L23" s="50" t="n">
        <f aca="false">J23*K23</f>
        <v>440000</v>
      </c>
      <c r="Q23" s="74" t="n">
        <f aca="false">SUM(Q8:Q22)</f>
        <v>218193.505216176</v>
      </c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1</v>
      </c>
      <c r="L24" s="50" t="n">
        <f aca="false">J24*K24</f>
        <v>143000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+'Competitive Ana'!F25+'Gas - Fund'!H25+'East - Fund'!F25</f>
        <v>11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1</v>
      </c>
      <c r="L26" s="50" t="n">
        <f aca="false">J26*K26</f>
        <v>198000</v>
      </c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+'Competitive Ana'!F27+'Gas - Fund'!H27+'East - Fund'!F27</f>
        <v>15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50" t="n">
        <f aca="false">SUM(K16:K27)</f>
        <v>17</v>
      </c>
      <c r="L28" s="50" t="n">
        <f aca="false">SUM(L16:L27)*1.2</f>
        <v>1840080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26</v>
      </c>
      <c r="L29" s="78" t="n">
        <v>0.2</v>
      </c>
      <c r="Q29" s="77" t="n">
        <v>1</v>
      </c>
    </row>
    <row r="30" customFormat="false" ht="12.75" hidden="true" customHeight="false" outlineLevel="0" collapsed="false">
      <c r="L30" s="50" t="n">
        <f aca="false">L28*1.2</f>
        <v>2208096</v>
      </c>
    </row>
    <row r="31" customFormat="false" ht="12.75" hidden="true" customHeight="false" outlineLevel="0" collapsed="false">
      <c r="H31" s="17" t="s">
        <v>164</v>
      </c>
      <c r="L31" s="0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17</v>
      </c>
      <c r="L34" s="80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7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1" t="str">
        <f aca="false">'[1]Team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customFormat="false" ht="18" hidden="false" customHeight="false" outlineLevel="0" collapsed="false">
      <c r="B2" s="51" t="s">
        <v>188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P6" s="61"/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P7" s="62"/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v>0</v>
      </c>
      <c r="I8" s="59" t="s">
        <v>120</v>
      </c>
      <c r="J8" s="50" t="n">
        <v>0</v>
      </c>
      <c r="L8" s="60" t="n">
        <f aca="false">L30</f>
        <v>1956240</v>
      </c>
      <c r="P8" s="65"/>
    </row>
    <row r="9" customFormat="false" ht="12.75" hidden="true" customHeight="false" outlineLevel="0" collapsed="false">
      <c r="A9" s="63"/>
      <c r="B9" s="64" t="s">
        <v>121</v>
      </c>
      <c r="C9" s="65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5" t="n">
        <v>0</v>
      </c>
      <c r="G9" s="66" t="n">
        <f aca="false">E9/$E$23</f>
        <v>0</v>
      </c>
      <c r="H9" s="65"/>
      <c r="I9" s="59"/>
      <c r="L9" s="60"/>
      <c r="P9" s="65"/>
    </row>
    <row r="10" customFormat="false" ht="12.75" hidden="false" customHeight="false" outlineLevel="0" collapsed="false">
      <c r="A10" s="63"/>
      <c r="B10" s="64" t="s">
        <v>122</v>
      </c>
      <c r="C10" s="65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5"/>
      <c r="E10" s="65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6" t="n">
        <f aca="false">E10/$E$23</f>
        <v>0.00377976191391553</v>
      </c>
      <c r="H10" s="65" t="n">
        <v>60500</v>
      </c>
      <c r="I10" s="59"/>
      <c r="L10" s="60"/>
      <c r="P10" s="65"/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+H10*0.2</f>
        <v>12100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10</v>
      </c>
      <c r="L11" s="60" t="n">
        <f aca="false">J11*K11</f>
        <v>482701.8125</v>
      </c>
      <c r="P11" s="65"/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v>7500</v>
      </c>
      <c r="I12" s="59"/>
      <c r="L12" s="60"/>
      <c r="P12" s="65"/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v>25000</v>
      </c>
      <c r="I13" s="68" t="s">
        <v>129</v>
      </c>
      <c r="J13" s="69"/>
      <c r="K13" s="69"/>
      <c r="L13" s="70" t="n">
        <f aca="false">L8+L11</f>
        <v>2438941.8125</v>
      </c>
      <c r="O13" s="71"/>
      <c r="P13" s="65"/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v>0</v>
      </c>
      <c r="P14" s="65"/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v>5000</v>
      </c>
      <c r="P15" s="65"/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P16" s="65"/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v>59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P17" s="65"/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v>7500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P18" s="65"/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v>10000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P19" s="65"/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v>0.2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P20" s="65"/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v>1500</v>
      </c>
      <c r="I21" s="50" t="s">
        <v>151</v>
      </c>
      <c r="J21" s="50" t="n">
        <v>60500</v>
      </c>
      <c r="K21" s="50" t="n">
        <v>1</v>
      </c>
      <c r="L21" s="50" t="n">
        <f aca="false">J21*K21</f>
        <v>60500</v>
      </c>
      <c r="O21" s="27"/>
      <c r="P21" s="65"/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v>0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O22" s="27"/>
      <c r="P22" s="65"/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129159.2</v>
      </c>
      <c r="I23" s="50" t="s">
        <v>157</v>
      </c>
      <c r="J23" s="50" t="n">
        <v>110000</v>
      </c>
      <c r="K23" s="50" t="n">
        <f aca="false">2+1</f>
        <v>3</v>
      </c>
      <c r="L23" s="50" t="n">
        <f aca="false">J23*K23</f>
        <v>330000</v>
      </c>
      <c r="O23" s="27"/>
      <c r="P23" s="76"/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f aca="false">2+1+1</f>
        <v>4</v>
      </c>
      <c r="L24" s="50" t="n">
        <f aca="false">J24*K24</f>
        <v>572000</v>
      </c>
      <c r="O24" s="27"/>
      <c r="P24" s="27"/>
    </row>
    <row r="25" customFormat="false" ht="12.75" hidden="false" customHeight="false" outlineLevel="0" collapsed="false">
      <c r="B25" s="73" t="s">
        <v>7</v>
      </c>
      <c r="C25" s="65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v>0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O25" s="27"/>
      <c r="P25" s="65"/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2</v>
      </c>
      <c r="L26" s="50" t="n">
        <f aca="false">J26*K26</f>
        <v>396000</v>
      </c>
      <c r="O26" s="27"/>
      <c r="P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v>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O27" s="27"/>
      <c r="P27" s="65"/>
    </row>
    <row r="28" customFormat="false" ht="12.75" hidden="false" customHeight="false" outlineLevel="0" collapsed="false">
      <c r="K28" s="50" t="n">
        <f aca="false">SUM(K16:K27)</f>
        <v>10</v>
      </c>
      <c r="L28" s="50" t="n">
        <f aca="false">SUM(L16:L27)*1.2</f>
        <v>1630200</v>
      </c>
      <c r="O28" s="27"/>
      <c r="P28" s="27"/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</v>
      </c>
      <c r="L29" s="78" t="n">
        <v>0.2</v>
      </c>
      <c r="O29" s="27"/>
      <c r="P29" s="65"/>
    </row>
    <row r="30" customFormat="false" ht="12.75" hidden="true" customHeight="false" outlineLevel="0" collapsed="false">
      <c r="L30" s="50" t="n">
        <f aca="false">L28*1.2</f>
        <v>1956240</v>
      </c>
      <c r="O30" s="27"/>
      <c r="P30" s="27"/>
    </row>
    <row r="31" customFormat="false" ht="12.75" hidden="true" customHeight="false" outlineLevel="0" collapsed="false">
      <c r="H31" s="17" t="s">
        <v>164</v>
      </c>
      <c r="L31" s="0"/>
      <c r="O31" s="27"/>
      <c r="P31" s="27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  <c r="O32" s="27"/>
      <c r="P32" s="27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  <c r="O33" s="27"/>
      <c r="P33" s="27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7"/>
      <c r="P34" s="27"/>
    </row>
    <row r="35" customFormat="false" ht="12.75" hidden="true" customHeight="false" outlineLevel="0" collapsed="false">
      <c r="O35" s="27"/>
      <c r="P35" s="27"/>
    </row>
    <row r="36" customFormat="false" ht="12.75" hidden="true" customHeight="false" outlineLevel="0" collapsed="false">
      <c r="O36" s="27"/>
      <c r="P36" s="27"/>
    </row>
    <row r="37" customFormat="false" ht="12.75" hidden="true" customHeight="false" outlineLevel="0" collapsed="false">
      <c r="O37" s="27"/>
      <c r="P37" s="27"/>
    </row>
    <row r="38" customFormat="false" ht="12.75" hidden="true" customHeight="false" outlineLevel="0" collapsed="false">
      <c r="O38" s="27"/>
      <c r="P38" s="27"/>
    </row>
    <row r="39" customFormat="false" ht="12.75" hidden="false" customHeight="false" outlineLevel="0" collapsed="false">
      <c r="O39" s="27"/>
      <c r="P39" s="27"/>
    </row>
    <row r="42" customFormat="false" ht="12.75" hidden="false" customHeight="false" outlineLevel="0" collapsed="false">
      <c r="B42" s="82"/>
      <c r="C42" s="82"/>
      <c r="D42" s="82"/>
    </row>
    <row r="43" customFormat="false" ht="12.75" hidden="false" customHeight="false" outlineLevel="0" collapsed="false">
      <c r="B43" s="82"/>
      <c r="C43" s="82"/>
      <c r="D43" s="82"/>
    </row>
    <row r="44" customFormat="false" ht="12.75" hidden="false" customHeight="false" outlineLevel="0" collapsed="false">
      <c r="B44" s="82"/>
      <c r="C44" s="82"/>
      <c r="D44" s="82"/>
    </row>
    <row r="45" customFormat="false" ht="12.75" hidden="false" customHeight="false" outlineLevel="0" collapsed="false">
      <c r="B45" s="82"/>
      <c r="C45" s="82"/>
      <c r="D45" s="82"/>
    </row>
    <row r="46" customFormat="false" ht="12.75" hidden="false" customHeight="false" outlineLevel="0" collapsed="false">
      <c r="B46" s="82"/>
      <c r="C46" s="82"/>
      <c r="D46" s="82"/>
    </row>
    <row r="47" customFormat="false" ht="12.75" hidden="false" customHeight="false" outlineLevel="0" collapsed="false">
      <c r="B47" s="82"/>
      <c r="C47" s="82"/>
      <c r="D47" s="82"/>
    </row>
    <row r="48" customFormat="false" ht="12.75" hidden="false" customHeight="false" outlineLevel="0" collapsed="false">
      <c r="B48" s="82"/>
      <c r="C48" s="82"/>
      <c r="D48" s="82"/>
    </row>
    <row r="49" customFormat="false" ht="12.75" hidden="false" customHeight="false" outlineLevel="0" collapsed="false">
      <c r="B49" s="82"/>
      <c r="C49" s="82"/>
      <c r="D49" s="82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  <col collapsed="false" customWidth="false" hidden="true" outlineLevel="0" max="27" min="16" style="0" width="9.06"/>
  </cols>
  <sheetData>
    <row r="1" customFormat="false" ht="18" hidden="false" customHeight="false" outlineLevel="0" collapsed="false">
      <c r="B1" s="51" t="str">
        <f aca="false">'[28]Team Report'!B1</f>
        <v>Enron North America</v>
      </c>
      <c r="C1" s="51"/>
      <c r="D1" s="51"/>
      <c r="E1" s="51"/>
      <c r="F1" s="51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customFormat="false" ht="18" hidden="false" customHeight="false" outlineLevel="0" collapsed="false">
      <c r="B2" s="51" t="str">
        <f aca="false">'[28]Pull Sheet'!E9</f>
        <v>Competitive Analysis</v>
      </c>
      <c r="C2" s="51"/>
      <c r="D2" s="51"/>
      <c r="E2" s="51"/>
      <c r="F2" s="51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customFormat="false" ht="18" hidden="false" customHeight="false" outlineLevel="0" collapsed="false">
      <c r="B3" s="54" t="s">
        <v>1</v>
      </c>
      <c r="C3" s="54"/>
      <c r="D3" s="54"/>
      <c r="E3" s="54"/>
      <c r="F3" s="54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7"/>
      <c r="K5" s="57"/>
      <c r="L5" s="58"/>
    </row>
    <row r="6" customFormat="false" ht="12.75" hidden="false" customHeight="false" outlineLevel="0" collapsed="false">
      <c r="C6" s="61" t="n">
        <v>37135</v>
      </c>
      <c r="E6" s="101" t="n">
        <v>2001</v>
      </c>
      <c r="F6" s="101" t="n">
        <v>2002</v>
      </c>
      <c r="I6" s="88"/>
      <c r="J6" s="80" t="s">
        <v>109</v>
      </c>
      <c r="K6" s="80" t="s">
        <v>110</v>
      </c>
      <c r="L6" s="106" t="s">
        <v>232</v>
      </c>
      <c r="O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G7" s="17"/>
      <c r="I7" s="88"/>
      <c r="J7" s="50"/>
      <c r="K7" s="50"/>
      <c r="L7" s="60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'[28]Team Report'!BA25</f>
        <v>1004954.44</v>
      </c>
      <c r="E8" s="65" t="n">
        <f aca="false">(C8/9)*12</f>
        <v>1339939.25333333</v>
      </c>
      <c r="F8" s="65" t="n">
        <f aca="false">L29</f>
        <v>406800</v>
      </c>
      <c r="I8" s="88"/>
      <c r="J8" s="50"/>
      <c r="K8" s="50"/>
      <c r="L8" s="60"/>
      <c r="O8" s="65" t="n">
        <f aca="false">+F8/$F$29*$O$29</f>
        <v>81360</v>
      </c>
    </row>
    <row r="9" customFormat="false" ht="12.75" hidden="true" customHeight="true" outlineLevel="0" collapsed="false">
      <c r="A9" s="63"/>
      <c r="B9" s="64" t="s">
        <v>121</v>
      </c>
      <c r="C9" s="65" t="n">
        <v>0</v>
      </c>
      <c r="E9" s="65" t="n">
        <f aca="false">(C9/9)*12</f>
        <v>0</v>
      </c>
      <c r="F9" s="65" t="n">
        <f aca="false">(D9/9)*12</f>
        <v>0</v>
      </c>
      <c r="I9" s="88" t="s">
        <v>120</v>
      </c>
      <c r="J9" s="50" t="n">
        <v>0</v>
      </c>
      <c r="K9" s="50" t="n">
        <f aca="false">K29</f>
        <v>5</v>
      </c>
      <c r="L9" s="60" t="n">
        <f aca="false">L33</f>
        <v>488160</v>
      </c>
      <c r="O9" s="65" t="n">
        <f aca="false">+F9/$F$29*$O$29</f>
        <v>0</v>
      </c>
    </row>
    <row r="10" customFormat="false" ht="12.75" hidden="true" customHeight="true" outlineLevel="0" collapsed="false">
      <c r="B10" s="64" t="s">
        <v>192</v>
      </c>
      <c r="C10" s="65" t="n">
        <v>0</v>
      </c>
      <c r="E10" s="65" t="n">
        <f aca="false">(C10/9)*12</f>
        <v>0</v>
      </c>
      <c r="F10" s="65" t="n">
        <f aca="false">(D10/9)*12</f>
        <v>0</v>
      </c>
      <c r="I10" s="88"/>
      <c r="J10" s="50"/>
      <c r="K10" s="50"/>
      <c r="L10" s="60"/>
      <c r="O10" s="65" t="n">
        <f aca="false">+F10/$F$29*$O$29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'[28]Team Report'!BA26</f>
        <v>241285.2</v>
      </c>
      <c r="E11" s="65" t="n">
        <f aca="false">(C11/9)*12</f>
        <v>321713.6</v>
      </c>
      <c r="F11" s="65" t="n">
        <f aca="false">L33-L29</f>
        <v>81360</v>
      </c>
      <c r="I11" s="88"/>
      <c r="J11" s="50"/>
      <c r="K11" s="50"/>
      <c r="L11" s="60"/>
      <c r="O11" s="65" t="n">
        <f aca="false">+F11/$F$29*$O$29</f>
        <v>16272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'[28]Team Report'!BA27</f>
        <v>64034.85</v>
      </c>
      <c r="E12" s="67" t="n">
        <f aca="false">((C12/9)*12)*1.25</f>
        <v>106724.75</v>
      </c>
      <c r="F12" s="65" t="n">
        <f aca="false">(E12/$E$29)*$F$29</f>
        <v>19057.9910714286</v>
      </c>
      <c r="I12" s="88" t="s">
        <v>83</v>
      </c>
      <c r="J12" s="50" t="n">
        <f aca="false">(E12+E13+E14+E15+E16+E17+E18+E19+E20+E21+E22)/E29</f>
        <v>29159.271</v>
      </c>
      <c r="K12" s="50" t="n">
        <f aca="false">K29</f>
        <v>5</v>
      </c>
      <c r="L12" s="60" t="n">
        <f aca="false">J12*K12</f>
        <v>145796.355</v>
      </c>
      <c r="O12" s="65" t="n">
        <f aca="false">+F12/$F$29*$O$29</f>
        <v>3811.59821428571</v>
      </c>
    </row>
    <row r="13" customFormat="false" ht="12.75" hidden="false" customHeight="false" outlineLevel="0" collapsed="false">
      <c r="A13" s="63" t="s">
        <v>127</v>
      </c>
      <c r="B13" s="64" t="s">
        <v>128</v>
      </c>
      <c r="C13" s="65" t="n">
        <f aca="false">'[28]Team Report'!BA28</f>
        <v>201286.6</v>
      </c>
      <c r="E13" s="67" t="n">
        <f aca="false">((C13/9)*12)*1.17</f>
        <v>314007.096</v>
      </c>
      <c r="F13" s="65" t="n">
        <f aca="false">(E13/$E$29)*$F$29+63927</f>
        <v>119999.695714286</v>
      </c>
      <c r="I13" s="88"/>
      <c r="J13" s="50"/>
      <c r="K13" s="50"/>
      <c r="L13" s="60"/>
      <c r="O13" s="65" t="n">
        <f aca="false">+F13/$F$29*$O$29</f>
        <v>23999.9391428571</v>
      </c>
    </row>
    <row r="14" customFormat="false" ht="13.5" hidden="false" customHeight="false" outlineLevel="0" collapsed="false">
      <c r="A14" s="63" t="s">
        <v>130</v>
      </c>
      <c r="B14" s="64" t="s">
        <v>131</v>
      </c>
      <c r="C14" s="65" t="n">
        <f aca="false">'[28]Team Report'!BA32-C39</f>
        <v>-0.0600000000558794</v>
      </c>
      <c r="E14" s="67" t="n">
        <f aca="false">((C14/9)*12)*1.3</f>
        <v>-0.104000000096858</v>
      </c>
      <c r="F14" s="65" t="n">
        <f aca="false">(E14/$E$29)*$F$29+480000</f>
        <v>479999.981428571</v>
      </c>
      <c r="I14" s="93" t="s">
        <v>129</v>
      </c>
      <c r="J14" s="69"/>
      <c r="K14" s="69"/>
      <c r="L14" s="70" t="n">
        <f aca="false">SUM(L9:L12)</f>
        <v>633956.355</v>
      </c>
      <c r="N14" s="50"/>
      <c r="O14" s="65" t="n">
        <f aca="false">+F14/$F$29*$O$29</f>
        <v>95999.9962857143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'[28]Team Report'!BA33</f>
        <v>21945.55</v>
      </c>
      <c r="E15" s="67" t="n">
        <f aca="false">((C15/9)*12)*1.25</f>
        <v>36575.9166666667</v>
      </c>
      <c r="F15" s="65" t="n">
        <f aca="false">(E15/$E$29)*$F$29</f>
        <v>6531.41369047619</v>
      </c>
      <c r="I15" s="27"/>
      <c r="J15" s="50"/>
      <c r="K15" s="50"/>
      <c r="L15" s="50"/>
      <c r="O15" s="65" t="n">
        <f aca="false">+F15/$F$29*$O$29</f>
        <v>1306.28273809524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'[28]Team Report'!BA34</f>
        <v>0</v>
      </c>
      <c r="E16" s="67" t="n">
        <f aca="false">((C16/9)*12)*1.3</f>
        <v>0</v>
      </c>
      <c r="F16" s="65" t="n">
        <f aca="false">(E16/$E$29)*$F$29</f>
        <v>0</v>
      </c>
      <c r="I16" s="27"/>
      <c r="J16" s="50"/>
      <c r="K16" s="50"/>
      <c r="L16" s="50"/>
      <c r="O16" s="65" t="n">
        <f aca="false">+F16/$F$29*$O$29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'[28]Team Report'!BA35</f>
        <v>0</v>
      </c>
      <c r="E17" s="67" t="n">
        <f aca="false">((C17/9)*12)*1.3</f>
        <v>0</v>
      </c>
      <c r="F17" s="65" t="n">
        <f aca="false">(E17/$E$29)*$F$29</f>
        <v>0</v>
      </c>
      <c r="I17" s="27" t="s">
        <v>193</v>
      </c>
      <c r="J17" s="50" t="n">
        <f aca="false">36000</f>
        <v>36000</v>
      </c>
      <c r="K17" s="50" t="n">
        <f aca="false">H17*J17</f>
        <v>0</v>
      </c>
      <c r="L17" s="50" t="n">
        <f aca="false">J17*K17</f>
        <v>0</v>
      </c>
      <c r="O17" s="65" t="n">
        <f aca="false">+F17/$F$29*$O$29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'[28]Team Report'!BA36</f>
        <v>837.87</v>
      </c>
      <c r="E18" s="67" t="n">
        <f aca="false">((C18/9)*12)*1.25</f>
        <v>1396.45</v>
      </c>
      <c r="F18" s="65" t="n">
        <f aca="false">(E18/$E$29)*$F$29</f>
        <v>249.366071428571</v>
      </c>
      <c r="I18" s="0" t="s">
        <v>255</v>
      </c>
      <c r="J18" s="50" t="n">
        <v>48000</v>
      </c>
      <c r="K18" s="50" t="n">
        <v>1</v>
      </c>
      <c r="L18" s="50" t="n">
        <f aca="false">J18*K18</f>
        <v>48000</v>
      </c>
      <c r="O18" s="65" t="n">
        <f aca="false">+F18/$F$29*$O$29</f>
        <v>49.8732142857143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'[28]Team Report'!BA37</f>
        <v>24222.35</v>
      </c>
      <c r="E19" s="67" t="n">
        <f aca="false">((C19/9)*12)*1.3</f>
        <v>41985.4066666667</v>
      </c>
      <c r="F19" s="65" t="n">
        <f aca="false">(E19/$E$29)*$F$29+60000</f>
        <v>67497.3940476191</v>
      </c>
      <c r="I19" s="0" t="s">
        <v>142</v>
      </c>
      <c r="J19" s="50" t="n">
        <v>49200</v>
      </c>
      <c r="K19" s="50" t="n">
        <v>0</v>
      </c>
      <c r="L19" s="50" t="n">
        <f aca="false">J19*K19</f>
        <v>0</v>
      </c>
      <c r="O19" s="65" t="n">
        <f aca="false">+F19/$F$29*$O$29</f>
        <v>13499.4788095238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'[28]Team Report'!BA38</f>
        <v>8.15</v>
      </c>
      <c r="E20" s="67" t="n">
        <f aca="false">((C20/9)*12)*1.25</f>
        <v>13.5833333333333</v>
      </c>
      <c r="F20" s="65" t="n">
        <f aca="false">(E20/$E$29)*$F$29</f>
        <v>2.42559523809524</v>
      </c>
      <c r="I20" s="0" t="s">
        <v>256</v>
      </c>
      <c r="J20" s="50" t="n">
        <v>57600</v>
      </c>
      <c r="K20" s="50" t="n">
        <v>0</v>
      </c>
      <c r="L20" s="50" t="n">
        <f aca="false">J20*K20</f>
        <v>0</v>
      </c>
      <c r="O20" s="65" t="n">
        <f aca="false">+F20/$F$29*$O$29</f>
        <v>0.485119047619048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'[28]Team Report'!BA42</f>
        <v>196834.1</v>
      </c>
      <c r="E21" s="67" t="n">
        <f aca="false">((C21/9)*12)*1.2</f>
        <v>314934.56</v>
      </c>
      <c r="F21" s="65" t="n">
        <f aca="false">(E21/$E$29)*$F$29</f>
        <v>56238.3142857143</v>
      </c>
      <c r="I21" s="0" t="s">
        <v>154</v>
      </c>
      <c r="J21" s="50" t="n">
        <v>72000</v>
      </c>
      <c r="K21" s="50" t="n">
        <v>0</v>
      </c>
      <c r="L21" s="50" t="n">
        <f aca="false">J21*K21</f>
        <v>0</v>
      </c>
      <c r="O21" s="65" t="n">
        <f aca="false">+F21/$F$29*$O$29</f>
        <v>11247.6628571429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'[28]Team Report'!BA44</f>
        <v>474.19</v>
      </c>
      <c r="E22" s="67" t="n">
        <f aca="false">((C22/9)*12)*1.3</f>
        <v>821.929333333333</v>
      </c>
      <c r="F22" s="65" t="n">
        <f aca="false">(E22/$E$29)*$F$29</f>
        <v>146.773095238095</v>
      </c>
      <c r="I22" s="0" t="s">
        <v>145</v>
      </c>
      <c r="J22" s="50" t="n">
        <v>62400</v>
      </c>
      <c r="K22" s="50" t="n">
        <v>0</v>
      </c>
      <c r="L22" s="50" t="n">
        <f aca="false">J22*K22</f>
        <v>0</v>
      </c>
      <c r="O22" s="65" t="n">
        <f aca="false">+F22/$F$29*$O$29</f>
        <v>29.354619047619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1755883.24</v>
      </c>
      <c r="E23" s="74" t="n">
        <f aca="false">SUM(E8:E22)</f>
        <v>2478112.44133333</v>
      </c>
      <c r="F23" s="74" t="n">
        <f aca="false">SUM(F8:F22)</f>
        <v>1237883.355</v>
      </c>
      <c r="I23" s="0" t="s">
        <v>297</v>
      </c>
      <c r="J23" s="50" t="n">
        <v>74400</v>
      </c>
      <c r="K23" s="50" t="n">
        <v>2</v>
      </c>
      <c r="L23" s="50" t="n">
        <f aca="false">J23*K23</f>
        <v>148800</v>
      </c>
      <c r="O23" s="96" t="n">
        <f aca="false">SUM(O8:O22)</f>
        <v>247576.671</v>
      </c>
    </row>
    <row r="24" customFormat="false" ht="12.75" hidden="false" customHeight="false" outlineLevel="0" collapsed="false">
      <c r="I24" s="0" t="s">
        <v>258</v>
      </c>
      <c r="J24" s="50" t="n">
        <v>90000</v>
      </c>
      <c r="K24" s="50" t="n">
        <v>1</v>
      </c>
      <c r="L24" s="50" t="n">
        <f aca="false">J24*K24</f>
        <v>90000</v>
      </c>
    </row>
    <row r="25" customFormat="false" ht="12.75" hidden="false" customHeight="false" outlineLevel="0" collapsed="false">
      <c r="B25" s="73" t="s">
        <v>7</v>
      </c>
      <c r="C25" s="65"/>
      <c r="E25" s="77" t="n">
        <v>28</v>
      </c>
      <c r="F25" s="77" t="n">
        <f aca="false">+K29</f>
        <v>5</v>
      </c>
      <c r="I25" s="0" t="s">
        <v>259</v>
      </c>
      <c r="J25" s="50" t="n">
        <v>120000</v>
      </c>
      <c r="K25" s="50" t="n">
        <v>1</v>
      </c>
      <c r="L25" s="50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5"/>
      <c r="E26" s="65"/>
      <c r="F26" s="65"/>
      <c r="I26" s="0" t="s">
        <v>310</v>
      </c>
      <c r="J26" s="50" t="n">
        <v>178800</v>
      </c>
      <c r="K26" s="50" t="n">
        <v>0</v>
      </c>
      <c r="L26" s="50" t="n">
        <f aca="false">J26*K26</f>
        <v>0</v>
      </c>
      <c r="O26" s="65"/>
    </row>
    <row r="27" customFormat="false" ht="12.75" hidden="false" customHeight="false" outlineLevel="0" collapsed="false">
      <c r="B27" s="73" t="s">
        <v>289</v>
      </c>
      <c r="C27" s="65"/>
      <c r="E27" s="77" t="n">
        <v>0</v>
      </c>
      <c r="F27" s="77" t="n">
        <v>0</v>
      </c>
      <c r="I27" s="0" t="s">
        <v>261</v>
      </c>
      <c r="J27" s="50" t="n">
        <v>216000</v>
      </c>
      <c r="K27" s="50" t="n">
        <v>0</v>
      </c>
      <c r="L27" s="50" t="n">
        <f aca="false">J27*K27</f>
        <v>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262</v>
      </c>
      <c r="J28" s="50" t="n">
        <v>312000</v>
      </c>
      <c r="K28" s="50" t="n">
        <f aca="false">H27*J28</f>
        <v>0</v>
      </c>
      <c r="L28" s="50" t="n">
        <f aca="false">J28*K28</f>
        <v>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28</v>
      </c>
      <c r="F29" s="77" t="n">
        <f aca="false">+F27+F25</f>
        <v>5</v>
      </c>
      <c r="G29" s="50"/>
      <c r="J29" s="50"/>
      <c r="K29" s="50" t="n">
        <f aca="false">SUM(K17:K28)</f>
        <v>5</v>
      </c>
      <c r="L29" s="50" t="n">
        <f aca="false">SUM(L17:L28)</f>
        <v>406800</v>
      </c>
      <c r="O29" s="77" t="n">
        <v>1</v>
      </c>
    </row>
    <row r="30" customFormat="false" ht="12.75" hidden="false" customHeight="false" outlineLevel="0" collapsed="false">
      <c r="J30" s="50"/>
      <c r="K30" s="50"/>
      <c r="L30" s="50"/>
    </row>
    <row r="31" customFormat="false" ht="12.75" hidden="true" customHeight="false" outlineLevel="0" collapsed="false">
      <c r="A31" s="63" t="s">
        <v>221</v>
      </c>
      <c r="B31" s="64" t="s">
        <v>236</v>
      </c>
      <c r="C31" s="65" t="n">
        <f aca="false">'[28]Team Report'!BA29</f>
        <v>0</v>
      </c>
      <c r="E31" s="65" t="n">
        <f aca="false">(C31/9)*12</f>
        <v>0</v>
      </c>
      <c r="I31" s="0" t="s">
        <v>249</v>
      </c>
      <c r="J31" s="50"/>
      <c r="K31" s="78"/>
      <c r="L31" s="78" t="n">
        <v>0.2</v>
      </c>
    </row>
    <row r="32" customFormat="false" ht="12.75" hidden="true" customHeight="false" outlineLevel="0" collapsed="false">
      <c r="A32" s="63" t="s">
        <v>223</v>
      </c>
      <c r="B32" s="64" t="s">
        <v>237</v>
      </c>
      <c r="C32" s="65" t="n">
        <f aca="false">'[28]Team Report'!BA30</f>
        <v>0</v>
      </c>
      <c r="E32" s="65" t="n">
        <f aca="false">(C32/9)*12</f>
        <v>0</v>
      </c>
      <c r="J32" s="50"/>
      <c r="K32" s="50"/>
      <c r="L32" s="50"/>
    </row>
    <row r="33" customFormat="false" ht="12.75" hidden="true" customHeight="false" outlineLevel="0" collapsed="false">
      <c r="A33" s="63" t="s">
        <v>224</v>
      </c>
      <c r="B33" s="64" t="s">
        <v>238</v>
      </c>
      <c r="C33" s="65" t="n">
        <f aca="false">'[28]Team Report'!BA31</f>
        <v>0</v>
      </c>
      <c r="E33" s="65" t="n">
        <f aca="false">(C33/9)*12</f>
        <v>0</v>
      </c>
      <c r="J33" s="50"/>
      <c r="K33" s="50"/>
      <c r="L33" s="50" t="n">
        <f aca="false">L29*1.2</f>
        <v>488160</v>
      </c>
    </row>
    <row r="34" customFormat="false" ht="12.75" hidden="true" customHeight="false" outlineLevel="0" collapsed="false">
      <c r="A34" s="63" t="s">
        <v>225</v>
      </c>
      <c r="B34" s="64" t="s">
        <v>239</v>
      </c>
      <c r="C34" s="65" t="n">
        <f aca="false">'[28]Team Report'!BA39</f>
        <v>0</v>
      </c>
      <c r="E34" s="65" t="n">
        <f aca="false">(C34/9)*12</f>
        <v>0</v>
      </c>
      <c r="J34" s="50"/>
      <c r="K34" s="50"/>
      <c r="L34" s="50"/>
    </row>
    <row r="35" customFormat="false" ht="12.75" hidden="true" customHeight="false" outlineLevel="0" collapsed="false">
      <c r="A35" s="63" t="s">
        <v>226</v>
      </c>
      <c r="B35" s="64" t="s">
        <v>240</v>
      </c>
      <c r="C35" s="65" t="n">
        <f aca="false">'[28]Team Report'!BA40</f>
        <v>155543.13</v>
      </c>
      <c r="E35" s="65" t="n">
        <f aca="false">(C35/9)*12</f>
        <v>207390.84</v>
      </c>
    </row>
    <row r="36" customFormat="false" ht="12.75" hidden="true" customHeight="false" outlineLevel="0" collapsed="false">
      <c r="A36" s="63" t="s">
        <v>227</v>
      </c>
      <c r="B36" s="64" t="s">
        <v>241</v>
      </c>
      <c r="C36" s="65" t="n">
        <f aca="false">'[28]Team Report'!BA41</f>
        <v>132051.71</v>
      </c>
      <c r="E36" s="65" t="n">
        <f aca="false">(C36/9)*12</f>
        <v>176068.946666667</v>
      </c>
    </row>
    <row r="37" customFormat="false" ht="12.75" hidden="true" customHeight="false" outlineLevel="0" collapsed="false">
      <c r="A37" s="63" t="s">
        <v>228</v>
      </c>
      <c r="B37" s="64" t="s">
        <v>242</v>
      </c>
      <c r="C37" s="65" t="n">
        <f aca="false">'[28]Team Report'!BA43</f>
        <v>-1900070.79</v>
      </c>
      <c r="E37" s="65" t="n">
        <f aca="false">(C37/9)*12</f>
        <v>-2533427.72</v>
      </c>
      <c r="G37" s="17" t="s">
        <v>164</v>
      </c>
      <c r="I37" s="50"/>
      <c r="J37" s="50"/>
      <c r="K37" s="50"/>
    </row>
    <row r="38" customFormat="false" ht="12.75" hidden="true" customHeight="false" outlineLevel="0" collapsed="false">
      <c r="A38" s="63" t="s">
        <v>229</v>
      </c>
      <c r="B38" s="64" t="s">
        <v>243</v>
      </c>
      <c r="C38" s="65" t="n">
        <f aca="false">'[28]Team Report'!BA45</f>
        <v>0</v>
      </c>
      <c r="E38" s="65" t="n">
        <f aca="false">(C38/9)*12</f>
        <v>0</v>
      </c>
      <c r="I38" s="50"/>
      <c r="J38" s="50"/>
      <c r="K38" s="50"/>
    </row>
    <row r="39" customFormat="false" ht="12.75" hidden="true" customHeight="false" outlineLevel="0" collapsed="false">
      <c r="B39" s="64" t="s">
        <v>131</v>
      </c>
      <c r="C39" s="65" t="n">
        <v>1140923</v>
      </c>
      <c r="E39" s="65"/>
      <c r="G39" s="79" t="s">
        <v>165</v>
      </c>
      <c r="I39" s="80" t="s">
        <v>166</v>
      </c>
      <c r="J39" s="80" t="s">
        <v>167</v>
      </c>
      <c r="K39" s="80" t="s">
        <v>110</v>
      </c>
      <c r="L39" s="80" t="s">
        <v>168</v>
      </c>
    </row>
    <row r="40" customFormat="false" ht="12.75" hidden="true" customHeight="false" outlineLevel="0" collapsed="false">
      <c r="B40" s="64"/>
      <c r="G40" s="81" t="n">
        <f aca="false">SUM(E12:E22)</f>
        <v>816459.588</v>
      </c>
      <c r="I40" s="111" t="n">
        <f aca="false">+E29</f>
        <v>28</v>
      </c>
      <c r="J40" s="80" t="n">
        <f aca="false">+G40/I40</f>
        <v>29159.271</v>
      </c>
      <c r="K40" s="111" t="n">
        <f aca="false">+K12</f>
        <v>5</v>
      </c>
      <c r="L40" s="80" t="n">
        <f aca="false">+J40*K40</f>
        <v>145796.355</v>
      </c>
    </row>
    <row r="41" customFormat="false" ht="12.75" hidden="true" customHeight="false" outlineLevel="0" collapsed="false">
      <c r="C41" s="103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52" min="18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327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L28-H10</f>
        <v>591580</v>
      </c>
      <c r="I8" s="59" t="s">
        <v>120</v>
      </c>
      <c r="J8" s="50" t="n">
        <v>0</v>
      </c>
      <c r="L8" s="60" t="n">
        <f aca="false">L30</f>
        <v>1645776</v>
      </c>
      <c r="Q8" s="65" t="n">
        <f aca="false">+H8/$H$29*$Q$29</f>
        <v>42255.7142857143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 t="n">
        <f aca="false">+H9/$H$29*$Q$29</f>
        <v>0</v>
      </c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779900</v>
      </c>
      <c r="I10" s="59"/>
      <c r="L10" s="60"/>
      <c r="Q10" s="65" t="n">
        <f aca="false">+H10/$H$29*$Q$29</f>
        <v>55707.1428571429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L30-L28</f>
        <v>274296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14</v>
      </c>
      <c r="L11" s="60" t="n">
        <f aca="false">J11*K11</f>
        <v>675782.5375</v>
      </c>
      <c r="Q11" s="65" t="n">
        <f aca="false">+H11/$H$29*$Q$29</f>
        <v>19592.5714285714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86274.6325</v>
      </c>
      <c r="I12" s="59"/>
      <c r="L12" s="60"/>
      <c r="Q12" s="65" t="n">
        <f aca="false">+H12/$H$29*$Q$29</f>
        <v>6162.47375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(E13/$E$29)*$K$11-66789</f>
        <v>10000.3968333333</v>
      </c>
      <c r="I13" s="68" t="s">
        <v>129</v>
      </c>
      <c r="J13" s="69"/>
      <c r="K13" s="69"/>
      <c r="L13" s="70" t="n">
        <f aca="false">L8+L11</f>
        <v>2321558.5375</v>
      </c>
      <c r="N13" s="50" t="n">
        <v>24109311.029375</v>
      </c>
      <c r="P13" s="71" t="n">
        <f aca="false">N13-L13</f>
        <v>21787752.491875</v>
      </c>
      <c r="Q13" s="65" t="n">
        <f aca="false">+H13/$H$29*$Q$29</f>
        <v>714.31405952381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(E14/$E$29)*$K$11+180000+250000+6600+9000+30000</f>
        <v>475600.028</v>
      </c>
      <c r="Q14" s="65" t="n">
        <f aca="false">+H14/$H$29*$Q$29</f>
        <v>33971.4305714286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12199.0166666667</v>
      </c>
      <c r="Q15" s="65" t="n">
        <f aca="false">+H15/$H$29*$Q$29</f>
        <v>871.358333333333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v>0</v>
      </c>
      <c r="L16" s="50" t="n">
        <f aca="false">J16*K16</f>
        <v>0</v>
      </c>
      <c r="Q16" s="65" t="n">
        <f aca="false">+H16/$H$29*$Q$29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688.333333333333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 t="n">
        <f aca="false">+H17/$H$29*$Q$29</f>
        <v>49.1666666666667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12501.4073333333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 t="n">
        <f aca="false">+H18/$H$29*$Q$29</f>
        <v>892.957666666667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12741.204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 t="n">
        <f aca="false">+H19/$H$29*$Q$29</f>
        <v>910.086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1.86666666666667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 t="n">
        <f aca="false">+H20/$H$29*$Q$29</f>
        <v>0.133333333333333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15842.0395</v>
      </c>
      <c r="I21" s="50" t="s">
        <v>151</v>
      </c>
      <c r="J21" s="50" t="n">
        <v>60500</v>
      </c>
      <c r="K21" s="50" t="n">
        <v>7</v>
      </c>
      <c r="L21" s="50" t="n">
        <f aca="false">J21*K21</f>
        <v>423500</v>
      </c>
      <c r="Q21" s="65" t="n">
        <f aca="false">+H21/$H$29*$Q$29</f>
        <v>1131.57425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f aca="false">(E22/$E$29)*$K$11-327675</f>
        <v>131069.612666667</v>
      </c>
      <c r="I22" s="50" t="s">
        <v>154</v>
      </c>
      <c r="J22" s="50" t="n">
        <v>89100</v>
      </c>
      <c r="K22" s="50" t="n">
        <v>4</v>
      </c>
      <c r="L22" s="50" t="n">
        <f aca="false">J22*K22</f>
        <v>356400</v>
      </c>
      <c r="Q22" s="65" t="n">
        <f aca="false">+H22/$H$29*$Q$29</f>
        <v>9362.11519047621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2402694.5375</v>
      </c>
      <c r="I23" s="50" t="s">
        <v>157</v>
      </c>
      <c r="J23" s="50" t="n">
        <v>110000</v>
      </c>
      <c r="K23" s="50" t="n">
        <v>2</v>
      </c>
      <c r="L23" s="50" t="n">
        <f aca="false">J23*K23</f>
        <v>220000</v>
      </c>
      <c r="Q23" s="74" t="n">
        <f aca="false">SUM(Q8:Q22)</f>
        <v>171621.038392857</v>
      </c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1</v>
      </c>
      <c r="L24" s="50" t="n">
        <f aca="false">J24*K24</f>
        <v>143000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3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Q25" s="77" t="n">
        <v>1</v>
      </c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11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50" t="n">
        <f aca="false">SUM(K16:K27)</f>
        <v>14</v>
      </c>
      <c r="L28" s="50" t="n">
        <f aca="false">SUM(L16:L27)*1.2</f>
        <v>1371480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14</v>
      </c>
      <c r="L29" s="78" t="n">
        <v>0.2</v>
      </c>
      <c r="Q29" s="77" t="n">
        <f aca="false">SUM(Q25:Q27)</f>
        <v>1</v>
      </c>
    </row>
    <row r="30" customFormat="false" ht="12.75" hidden="true" customHeight="false" outlineLevel="0" collapsed="false">
      <c r="L30" s="50" t="n">
        <f aca="false">L28*1.2</f>
        <v>1645776</v>
      </c>
    </row>
    <row r="31" customFormat="false" ht="12.75" hidden="true" customHeight="false" outlineLevel="0" collapsed="false">
      <c r="H31" s="17" t="s">
        <v>164</v>
      </c>
      <c r="L31" s="0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14</v>
      </c>
      <c r="L34" s="80" t="n">
        <f aca="false">+J34*K34</f>
        <v>675782.5375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328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N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N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M16+M17+M18+M19+M20+M23+M24+M26</f>
        <v>318000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810720</v>
      </c>
      <c r="N8" s="65" t="n">
        <f aca="false">+F8/$F$29*$N$29</f>
        <v>45428.5714285714</v>
      </c>
    </row>
    <row r="9" customFormat="false" ht="12.75" hidden="fals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/>
      <c r="H9" s="91" t="n">
        <f aca="false">E9/$E$23</f>
        <v>0.0716886497316311</v>
      </c>
      <c r="J9" s="88"/>
      <c r="K9" s="27"/>
      <c r="L9" s="27"/>
      <c r="M9" s="89"/>
      <c r="N9" s="65" t="n">
        <f aca="false">+F9/$F$29*$N$29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M21+M22</f>
        <v>357600</v>
      </c>
      <c r="H10" s="91" t="n">
        <f aca="false">E10/$E$23</f>
        <v>0.173657406666346</v>
      </c>
      <c r="J10" s="88"/>
      <c r="K10" s="27"/>
      <c r="L10" s="27"/>
      <c r="M10" s="89"/>
      <c r="N10" s="65" t="n">
        <f aca="false">+F10/$F$29*$N$29</f>
        <v>51085.7142857143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M28*0.2</f>
        <v>135120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7</v>
      </c>
      <c r="M11" s="92" t="n">
        <f aca="false">K11*L11</f>
        <v>221733.273304964</v>
      </c>
      <c r="N11" s="65" t="n">
        <f aca="false">+F11/$F$29*$N$29</f>
        <v>19302.8571428571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E12/$E$29*$L$11</f>
        <v>44200.8556028369</v>
      </c>
      <c r="H12" s="91" t="n">
        <f aca="false">E12/$E$23</f>
        <v>0.0437168934810347</v>
      </c>
      <c r="J12" s="88"/>
      <c r="K12" s="27"/>
      <c r="L12" s="27"/>
      <c r="M12" s="89"/>
      <c r="N12" s="65" t="n">
        <f aca="false">+F12/$F$29*$N$29</f>
        <v>6314.40794326241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E13/$E$29*$L$11</f>
        <v>80573.7063262411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1032453.27330496</v>
      </c>
      <c r="N13" s="65" t="n">
        <f aca="false">+F13/$F$29*$N$29</f>
        <v>11510.5294751773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v>1000000</v>
      </c>
      <c r="H14" s="91" t="n">
        <f aca="false">E14/$E$23</f>
        <v>2.98539034593965E-008</v>
      </c>
      <c r="N14" s="65" t="n">
        <f aca="false">+F14/$F$29*$N$29</f>
        <v>142857.142857143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E15/$E$29*$L$11</f>
        <v>7405.27557446808</v>
      </c>
      <c r="H15" s="91" t="n">
        <f aca="false">E15/$E$23</f>
        <v>0.00732419404718382</v>
      </c>
      <c r="K15" s="50"/>
      <c r="N15" s="65" t="n">
        <f aca="false">+F15/$F$29*$N$29</f>
        <v>1057.8965106383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E16/$E$29*$L$11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50" t="n">
        <f aca="false">K16*L16</f>
        <v>0</v>
      </c>
      <c r="N16" s="65" t="n">
        <f aca="false">+F16/$F$29*$N$29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E17/$E$29*$L$11</f>
        <v>420.992907801418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50" t="n">
        <f aca="false">K17*L17</f>
        <v>0</v>
      </c>
      <c r="N17" s="65" t="n">
        <f aca="false">+F17/$F$29*$N$29</f>
        <v>60.1418439716312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E18/$E$29*$L$11</f>
        <v>22.82019858156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50" t="n">
        <f aca="false">K18*L18</f>
        <v>0</v>
      </c>
      <c r="N18" s="65" t="n">
        <f aca="false">+F18/$F$29*$N$29</f>
        <v>3.26002836879429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E19/$E$29*$L$11</f>
        <v>38695.5392907801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50" t="n">
        <f aca="false">K19*L19</f>
        <v>0</v>
      </c>
      <c r="N19" s="65" t="n">
        <f aca="false">+F19/$F$29*$N$29</f>
        <v>5527.93418439716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E20/$E$29*$L$11</f>
        <v>6.21004255319149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v>1</v>
      </c>
      <c r="M20" s="50" t="n">
        <f aca="false">K20*L20</f>
        <v>78000</v>
      </c>
      <c r="N20" s="65" t="n">
        <f aca="false">+F20/$F$29*$N$29</f>
        <v>0.887148936170213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E21/$E$29*$L$11</f>
        <v>50313.2992907801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v>1</v>
      </c>
      <c r="M21" s="50" t="n">
        <f aca="false">K21*L21</f>
        <v>66000</v>
      </c>
      <c r="N21" s="65" t="n">
        <f aca="false">+F21/$F$29*$N$29</f>
        <v>7187.61418439716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E22/$E$29*$L$11</f>
        <v>94.5438865248227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v>3</v>
      </c>
      <c r="M22" s="50" t="n">
        <f aca="false">K22*L22</f>
        <v>291600</v>
      </c>
      <c r="N22" s="65" t="n">
        <f aca="false">+F22/$F$29*$N$29</f>
        <v>13.5062695035461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2032453.24312057</v>
      </c>
      <c r="H23" s="97" t="n">
        <f aca="false">SUM(H8:H22)</f>
        <v>1</v>
      </c>
      <c r="J23" s="0" t="s">
        <v>157</v>
      </c>
      <c r="K23" s="50" t="n">
        <v>120000</v>
      </c>
      <c r="L23" s="0" t="n">
        <f aca="false">3-1</f>
        <v>2</v>
      </c>
      <c r="M23" s="50" t="n">
        <f aca="false">K23*L23</f>
        <v>240000</v>
      </c>
      <c r="N23" s="96" t="n">
        <f aca="false">SUM(N8:N22)</f>
        <v>290350.463302938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f aca="false">1-1</f>
        <v>0</v>
      </c>
      <c r="M24" s="50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159</v>
      </c>
      <c r="K25" s="50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50" t="n">
        <f aca="false">K25*L25</f>
        <v>0</v>
      </c>
      <c r="N25" s="77" t="n">
        <v>1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50" t="n">
        <f aca="false">K26*L26</f>
        <v>0</v>
      </c>
      <c r="N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4</v>
      </c>
      <c r="J27" s="0" t="s">
        <v>162</v>
      </c>
      <c r="K27" s="50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50" t="n">
        <f aca="false">K27*L27</f>
        <v>0</v>
      </c>
      <c r="N27" s="77" t="n">
        <f aca="false">SUM(T21:T22)</f>
        <v>0</v>
      </c>
    </row>
    <row r="28" customFormat="false" ht="12.75" hidden="false" customHeight="false" outlineLevel="0" collapsed="false">
      <c r="B28" s="73"/>
      <c r="L28" s="0" t="n">
        <f aca="false">SUM(L16:L27)</f>
        <v>7</v>
      </c>
      <c r="M28" s="50" t="n">
        <f aca="false">SUM(M16:M27)</f>
        <v>675600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98" t="n">
        <f aca="false">SUM(F25:F27)</f>
        <v>7</v>
      </c>
      <c r="H29" s="50"/>
      <c r="N29" s="98" t="n">
        <f aca="false">SUM(N25:N27)</f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7</v>
      </c>
      <c r="M34" s="80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329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'[15]Executive Orig'!C8+[15]Trading!C8+[15]Origination!C8+'[15]Mid Market'!C8+[15]Services!C8+[15]Fundamentals!C8</f>
        <v>4789958.99</v>
      </c>
      <c r="E8" s="65" t="n">
        <f aca="false">(C8/9)*12</f>
        <v>6386611.98666667</v>
      </c>
      <c r="F8" s="65"/>
      <c r="G8" s="65" t="n">
        <v>495000</v>
      </c>
      <c r="H8" s="65"/>
      <c r="I8" s="91" t="n">
        <f aca="false">+G8/$G$23</f>
        <v>0.471726905556827</v>
      </c>
      <c r="K8" s="88" t="s">
        <v>120</v>
      </c>
      <c r="L8" s="50" t="n">
        <v>0</v>
      </c>
      <c r="M8" s="27" t="n">
        <f aca="false">+M11</f>
        <v>6</v>
      </c>
      <c r="N8" s="92" t="n">
        <f aca="false">N28</f>
        <v>673200</v>
      </c>
      <c r="O8" s="65" t="n">
        <f aca="false">+G8/$G$29*$O$29</f>
        <v>70714.2857142857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'[15]Executive Orig'!C9+[15]Trading!C9+[15]Origination!C9+'[15]Mid Market'!C9+[15]Services!C9+[15]Fundamentals!C9</f>
        <v>1464000</v>
      </c>
      <c r="E9" s="65" t="n">
        <f aca="false">+C9</f>
        <v>1464000</v>
      </c>
      <c r="F9" s="65"/>
      <c r="G9" s="65"/>
      <c r="H9" s="65"/>
      <c r="I9" s="91" t="n">
        <f aca="false">+G9/$G$23</f>
        <v>0</v>
      </c>
      <c r="K9" s="88"/>
      <c r="L9" s="27"/>
      <c r="M9" s="27"/>
      <c r="N9" s="89"/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f aca="false">'[15]Executive Orig'!C10+[15]Trading!C10+[15]Origination!C10+'[15]Mid Market'!C10+[15]Services!C10+[15]Fundamentals!C10</f>
        <v>804567</v>
      </c>
      <c r="E10" s="65" t="n">
        <f aca="false">(C10/9)*12</f>
        <v>1072756</v>
      </c>
      <c r="F10" s="65"/>
      <c r="G10" s="65" t="n">
        <v>132000</v>
      </c>
      <c r="H10" s="65"/>
      <c r="I10" s="91" t="n">
        <f aca="false">+G10/$G$23</f>
        <v>0.125793841481821</v>
      </c>
      <c r="K10" s="88"/>
      <c r="L10" s="27"/>
      <c r="M10" s="27"/>
      <c r="N10" s="89"/>
      <c r="O10" s="65" t="n">
        <f aca="false">+G10/$G$29*$O$29</f>
        <v>18857.1428571429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'[15]Executive Orig'!C11+[15]Trading!C11+[15]Origination!C11+'[15]Mid Market'!C11+[15]Services!C11+[15]Fundamentals!C11</f>
        <v>1096068.21</v>
      </c>
      <c r="E11" s="65" t="n">
        <f aca="false">(C11/9)*12</f>
        <v>1461424.28</v>
      </c>
      <c r="F11" s="65"/>
      <c r="G11" s="65" t="n">
        <v>125400</v>
      </c>
      <c r="H11" s="65"/>
      <c r="I11" s="91" t="n">
        <f aca="false">+G11/$G$23</f>
        <v>0.11950414940773</v>
      </c>
      <c r="K11" s="88" t="s">
        <v>83</v>
      </c>
      <c r="L11" s="80" t="n">
        <f aca="false">(E12+E13+E14+E15+E16+E17+E18+E19+E20+E21+E22)/E29</f>
        <v>47533.8552808989</v>
      </c>
      <c r="M11" s="27" t="n">
        <f aca="false">M28</f>
        <v>6</v>
      </c>
      <c r="N11" s="92" t="n">
        <f aca="false">L11*M11</f>
        <v>285203.131685393</v>
      </c>
      <c r="O11" s="65" t="n">
        <f aca="false">+G11/$G$29*$O$29</f>
        <v>17914.2857142857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'[15]Executive Orig'!C12+[15]Trading!C12+[15]Origination!C12+'[15]Mid Market'!C12+[15]Services!C12+[15]Fundamentals!C12</f>
        <v>658117.68</v>
      </c>
      <c r="E12" s="67" t="n">
        <f aca="false">((C12/9)*12)*1.2</f>
        <v>1052988.288</v>
      </c>
      <c r="F12" s="65"/>
      <c r="G12" s="65" t="n">
        <v>30000</v>
      </c>
      <c r="H12" s="65"/>
      <c r="I12" s="91" t="n">
        <f aca="false">+G12/$G$23</f>
        <v>0.0285895094276865</v>
      </c>
      <c r="K12" s="88"/>
      <c r="L12" s="27"/>
      <c r="M12" s="27"/>
      <c r="N12" s="89"/>
      <c r="O12" s="65" t="n">
        <f aca="false">+G12/$G$29*$O$29</f>
        <v>4285.71428571429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'[15]Executive Orig'!C13+[15]Trading!C13+[15]Origination!C13+'[15]Mid Market'!C13+[15]Services!C13+[15]Fundamentals!C13</f>
        <v>719773.8</v>
      </c>
      <c r="E13" s="67" t="n">
        <f aca="false">((C13/9)*12)*1.2</f>
        <v>1151638.08</v>
      </c>
      <c r="F13" s="65"/>
      <c r="G13" s="65" t="n">
        <v>30000</v>
      </c>
      <c r="H13" s="65"/>
      <c r="I13" s="91" t="n">
        <f aca="false">+G13/$G$23</f>
        <v>0.0285895094276865</v>
      </c>
      <c r="K13" s="93" t="s">
        <v>129</v>
      </c>
      <c r="L13" s="94"/>
      <c r="M13" s="94"/>
      <c r="N13" s="95" t="n">
        <f aca="false">N8+N11</f>
        <v>958403.131685393</v>
      </c>
      <c r="O13" s="65" t="n">
        <f aca="false">+G13/$G$29*$O$29</f>
        <v>4285.71428571429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'[15]Executive Orig'!C14+[15]Trading!C14+[15]Origination!C14+'[15]Mid Market'!C14+[15]Services!C14+[15]Fundamentals!C14-C32</f>
        <v>0.239999999757856</v>
      </c>
      <c r="E14" s="67" t="n">
        <f aca="false">((C14/9)*12)*1.2</f>
        <v>0.38399999961257</v>
      </c>
      <c r="F14" s="65"/>
      <c r="G14" s="65" t="n">
        <v>80000</v>
      </c>
      <c r="H14" s="65"/>
      <c r="I14" s="91" t="n">
        <f aca="false">+G14/$G$23</f>
        <v>0.076238691807164</v>
      </c>
      <c r="O14" s="65" t="n">
        <f aca="false">+G14/$G$29*$O$29</f>
        <v>11428.5714285714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'[15]Executive Orig'!C15+[15]Trading!C15+[15]Origination!C15+'[15]Mid Market'!C15+[15]Services!C15+[15]Fundamentals!C15</f>
        <v>128890.14</v>
      </c>
      <c r="E15" s="67" t="n">
        <f aca="false">((C15/9)*12)*1.2</f>
        <v>206224.224</v>
      </c>
      <c r="F15" s="65"/>
      <c r="G15" s="65" t="n">
        <v>20160</v>
      </c>
      <c r="H15" s="65"/>
      <c r="I15" s="91" t="n">
        <f aca="false">+G15/$G$23</f>
        <v>0.0192121503354053</v>
      </c>
      <c r="O15" s="65" t="n">
        <f aca="false">+G15/$G$29*$O$29</f>
        <v>2880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'[15]Executive Orig'!C16+[15]Trading!C16+[15]Origination!C16+'[15]Mid Market'!C16+[15]Services!C16+[15]Fundamentals!C16</f>
        <v>0</v>
      </c>
      <c r="E16" s="67" t="n">
        <f aca="false">((C16/9)*12)*1.2</f>
        <v>0</v>
      </c>
      <c r="F16" s="65"/>
      <c r="G16" s="65" t="n">
        <v>0</v>
      </c>
      <c r="H16" s="65"/>
      <c r="I16" s="91" t="n">
        <f aca="false">+G16/$G$23</f>
        <v>0</v>
      </c>
      <c r="K16" s="0" t="s">
        <v>193</v>
      </c>
      <c r="L16" s="50" t="n">
        <v>33600</v>
      </c>
      <c r="M16" s="0" t="n">
        <v>0</v>
      </c>
      <c r="N16" s="50" t="n">
        <f aca="false">L16*M16</f>
        <v>0</v>
      </c>
      <c r="O16" s="65" t="n">
        <f aca="false">+G16/$G$29*$O$29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'[15]Executive Orig'!C17+[15]Trading!C17+[15]Origination!C17+'[15]Mid Market'!C17+[15]Services!C17+[15]Fundamentals!C17</f>
        <v>11300</v>
      </c>
      <c r="E17" s="67" t="n">
        <f aca="false">((C17/9)*12)*1.2</f>
        <v>18080</v>
      </c>
      <c r="F17" s="65"/>
      <c r="G17" s="65" t="n">
        <v>0</v>
      </c>
      <c r="H17" s="65"/>
      <c r="I17" s="91" t="n">
        <f aca="false">+G17/$G$23</f>
        <v>0</v>
      </c>
      <c r="K17" s="0" t="s">
        <v>139</v>
      </c>
      <c r="L17" s="50" t="n">
        <v>52800</v>
      </c>
      <c r="M17" s="0" t="n">
        <v>0</v>
      </c>
      <c r="N17" s="50" t="n">
        <f aca="false">L17*M17</f>
        <v>0</v>
      </c>
      <c r="O17" s="65" t="n">
        <f aca="false">+G17/$G$29*$O$29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'[15]Executive Orig'!C18+[15]Trading!C18+[15]Origination!C18+'[15]Mid Market'!C18+[15]Services!C18+[15]Fundamentals!C18</f>
        <v>327447.74</v>
      </c>
      <c r="E18" s="67" t="n">
        <f aca="false">((C18/9)*12)*1.2</f>
        <v>523916.384</v>
      </c>
      <c r="F18" s="65"/>
      <c r="G18" s="65" t="n">
        <v>6300</v>
      </c>
      <c r="H18" s="65"/>
      <c r="I18" s="91" t="n">
        <f aca="false">+G18/$G$23</f>
        <v>0.00600379697981416</v>
      </c>
      <c r="K18" s="0" t="s">
        <v>142</v>
      </c>
      <c r="L18" s="50" t="n">
        <v>54000</v>
      </c>
      <c r="M18" s="0" t="n">
        <v>0</v>
      </c>
      <c r="N18" s="50" t="n">
        <f aca="false">L18*M18</f>
        <v>0</v>
      </c>
      <c r="O18" s="65" t="n">
        <f aca="false">+G18/$G$29*$O$29</f>
        <v>900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'[15]Executive Orig'!C19+[15]Trading!C19+[15]Origination!C19+'[15]Mid Market'!C19+[15]Services!C19+[15]Fundamentals!C19</f>
        <v>155845.37</v>
      </c>
      <c r="E19" s="67" t="n">
        <f aca="false">((C19/9)*12)*1.2</f>
        <v>249352.592</v>
      </c>
      <c r="F19" s="65"/>
      <c r="G19" s="65" t="n">
        <v>49612.0016179775</v>
      </c>
      <c r="H19" s="65"/>
      <c r="I19" s="91" t="n">
        <f aca="false">+G19/$G$23</f>
        <v>0.0472794262661189</v>
      </c>
      <c r="K19" s="0" t="s">
        <v>145</v>
      </c>
      <c r="L19" s="50" t="n">
        <v>63000</v>
      </c>
      <c r="M19" s="0" t="n">
        <v>1</v>
      </c>
      <c r="N19" s="50" t="n">
        <f aca="false">L19*M19</f>
        <v>63000</v>
      </c>
      <c r="O19" s="65" t="n">
        <f aca="false">+G19/$G$29*$O$29</f>
        <v>7087.42880256822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'[15]Executive Orig'!C20+[15]Trading!C20+[15]Origination!C20+'[15]Mid Market'!C20+[15]Services!C20+[15]Fundamentals!C20</f>
        <v>116.15</v>
      </c>
      <c r="E20" s="67" t="n">
        <f aca="false">((C20/9)*12)*1.2</f>
        <v>185.84</v>
      </c>
      <c r="F20" s="65"/>
      <c r="G20" s="65" t="n">
        <v>0</v>
      </c>
      <c r="H20" s="65"/>
      <c r="I20" s="91" t="n">
        <f aca="false">+G20/$G$23</f>
        <v>0</v>
      </c>
      <c r="K20" s="0" t="s">
        <v>148</v>
      </c>
      <c r="L20" s="50" t="n">
        <v>78000</v>
      </c>
      <c r="M20" s="0" t="n">
        <v>2</v>
      </c>
      <c r="N20" s="50" t="n">
        <f aca="false">L20*M20</f>
        <v>156000</v>
      </c>
      <c r="O20" s="65" t="n">
        <f aca="false">+G20/$G$29*$O$29</f>
        <v>0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'[15]Executive Orig'!C21+[15]Trading!C21+[15]Origination!C21+'[15]Mid Market'!C21+[15]Services!C21+[15]Fundamentals!C21</f>
        <v>566869.93</v>
      </c>
      <c r="E21" s="67" t="n">
        <f aca="false">((C21/9)*12)*1.2</f>
        <v>906991.888</v>
      </c>
      <c r="F21" s="65"/>
      <c r="G21" s="65" t="n">
        <v>71336.4406292135</v>
      </c>
      <c r="H21" s="65"/>
      <c r="I21" s="91" t="n">
        <f aca="false">+G21/$G$23</f>
        <v>0.0679824613968832</v>
      </c>
      <c r="K21" s="0" t="s">
        <v>151</v>
      </c>
      <c r="L21" s="50" t="n">
        <v>66000</v>
      </c>
      <c r="M21" s="0" t="n">
        <v>1</v>
      </c>
      <c r="N21" s="50" t="n">
        <f aca="false">L21*M21</f>
        <v>66000</v>
      </c>
      <c r="O21" s="65" t="n">
        <f aca="false">+G21/$G$29*$O$29</f>
        <v>10190.9200898876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'[15]Executive Orig'!C22+[15]Trading!C22+[15]Origination!C22+'[15]Mid Market'!C22+[15]Services!C22+[15]Fundamentals!C22</f>
        <v>75709.65</v>
      </c>
      <c r="E22" s="67" t="n">
        <f aca="false">((C22/9)*12)*1.2</f>
        <v>121135.44</v>
      </c>
      <c r="F22" s="65"/>
      <c r="G22" s="65" t="n">
        <v>9527.50651685393</v>
      </c>
      <c r="H22" s="65"/>
      <c r="I22" s="91" t="n">
        <f aca="false">+G22/$G$23</f>
        <v>0.00907955791286466</v>
      </c>
      <c r="K22" s="0" t="s">
        <v>154</v>
      </c>
      <c r="L22" s="50" t="n">
        <v>97200</v>
      </c>
      <c r="M22" s="0" t="n">
        <v>0</v>
      </c>
      <c r="N22" s="50" t="n">
        <f aca="false">L22*M22</f>
        <v>0</v>
      </c>
      <c r="O22" s="65" t="n">
        <f aca="false">+G22/$G$29*$O$29</f>
        <v>1361.07235955056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v>1049335.94876404</v>
      </c>
      <c r="H23" s="76"/>
      <c r="I23" s="97" t="n">
        <f aca="false">SUM(I8:I22)</f>
        <v>1</v>
      </c>
      <c r="K23" s="0" t="s">
        <v>157</v>
      </c>
      <c r="L23" s="50" t="n">
        <v>120000</v>
      </c>
      <c r="M23" s="0" t="n">
        <v>1</v>
      </c>
      <c r="N23" s="50" t="n">
        <f aca="false">L23*M23</f>
        <v>120000</v>
      </c>
      <c r="O23" s="74" t="n">
        <f aca="false">SUM(O8:O22)</f>
        <v>149905.135537721</v>
      </c>
    </row>
    <row r="24" customFormat="false" ht="12.75" hidden="false" customHeight="false" outlineLevel="0" collapsed="false">
      <c r="K24" s="0" t="s">
        <v>158</v>
      </c>
      <c r="L24" s="50" t="n">
        <v>156000</v>
      </c>
      <c r="M24" s="0" t="n">
        <v>1</v>
      </c>
      <c r="N24" s="50" t="n">
        <f aca="false">L24*M24</f>
        <v>156000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'[15]Executive Orig'!E25+[15]Trading!E25+[15]Origination!E25+'[15]Mid Market'!E25+[15]Services!E25+[15]Fundamentals!E25</f>
        <v>74</v>
      </c>
      <c r="F25" s="65"/>
      <c r="G25" s="77" t="n">
        <v>5</v>
      </c>
      <c r="H25" s="65"/>
      <c r="K25" s="0" t="s">
        <v>159</v>
      </c>
      <c r="L25" s="50" t="n">
        <v>180000</v>
      </c>
      <c r="M25" s="0" t="n">
        <v>0</v>
      </c>
      <c r="N25" s="50" t="n">
        <f aca="false">L25*M25</f>
        <v>0</v>
      </c>
      <c r="O25" s="77" t="n">
        <v>1</v>
      </c>
    </row>
    <row r="26" customFormat="false" ht="12.75" hidden="false" customHeight="false" outlineLevel="0" collapsed="false">
      <c r="C26" s="65"/>
      <c r="E26" s="65"/>
      <c r="F26" s="65"/>
      <c r="G26" s="65"/>
      <c r="H26" s="65"/>
      <c r="K26" s="0" t="s">
        <v>160</v>
      </c>
      <c r="L26" s="50" t="n">
        <v>216000</v>
      </c>
      <c r="M26" s="0" t="n">
        <v>0</v>
      </c>
      <c r="N26" s="50" t="n">
        <f aca="false">L26*M26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'[15]Executive Orig'!E27+[15]Trading!E27+[15]Origination!E27+'[15]Mid Market'!E27+[15]Services!E27+[15]Fundamentals!E27</f>
        <v>15</v>
      </c>
      <c r="F27" s="65"/>
      <c r="G27" s="77" t="n">
        <v>2</v>
      </c>
      <c r="H27" s="65"/>
      <c r="K27" s="0" t="s">
        <v>162</v>
      </c>
      <c r="L27" s="50" t="n">
        <v>240000</v>
      </c>
      <c r="M27" s="0" t="n">
        <v>0</v>
      </c>
      <c r="N27" s="50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50" t="n">
        <f aca="false">SUM(N16:N27)*1.2</f>
        <v>673200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89</v>
      </c>
      <c r="F29" s="65"/>
      <c r="G29" s="77" t="n">
        <v>7</v>
      </c>
      <c r="H29" s="65"/>
      <c r="I29" s="50"/>
      <c r="O29" s="77" t="n">
        <f aca="false">+O27+O25</f>
        <v>1</v>
      </c>
    </row>
    <row r="31" customFormat="false" ht="12.75" hidden="false" customHeight="false" outlineLevel="0" collapsed="false">
      <c r="J31" s="17" t="s">
        <v>164</v>
      </c>
      <c r="K31" s="50"/>
      <c r="L31" s="50"/>
      <c r="M31" s="50"/>
    </row>
    <row r="32" customFormat="false" ht="12.75" hidden="true" customHeight="false" outlineLevel="0" collapsed="false">
      <c r="B32" s="64" t="s">
        <v>131</v>
      </c>
      <c r="C32" s="65" t="n">
        <v>677322</v>
      </c>
      <c r="K32" s="50"/>
      <c r="L32" s="50"/>
      <c r="M32" s="50"/>
    </row>
    <row r="33" customFormat="false" ht="12.75" hidden="false" customHeight="false" outlineLevel="0" collapsed="false">
      <c r="J33" s="79" t="s">
        <v>165</v>
      </c>
      <c r="K33" s="80" t="s">
        <v>166</v>
      </c>
      <c r="L33" s="80" t="s">
        <v>167</v>
      </c>
      <c r="M33" s="80" t="s">
        <v>110</v>
      </c>
      <c r="N33" s="80" t="s">
        <v>168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6</v>
      </c>
      <c r="N34" s="80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</row>
    <row r="2" customFormat="false" ht="18" hidden="false" customHeight="false" outlineLevel="0" collapsed="false">
      <c r="B2" s="51" t="s">
        <v>330</v>
      </c>
      <c r="C2" s="51"/>
      <c r="D2" s="51"/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customFormat="false" ht="18.75" hidden="false" customHeight="false" outlineLevel="0" collapsed="false">
      <c r="B3" s="100" t="s">
        <v>1</v>
      </c>
      <c r="C3" s="100"/>
      <c r="D3" s="100"/>
      <c r="E3" s="100"/>
      <c r="F3" s="100"/>
      <c r="G3" s="100"/>
      <c r="H3" s="100"/>
      <c r="I3" s="100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7" t="s">
        <v>109</v>
      </c>
      <c r="M5" s="27" t="s">
        <v>110</v>
      </c>
      <c r="N5" s="89" t="s">
        <v>111</v>
      </c>
    </row>
    <row r="6" customFormat="false" ht="12.75" hidden="false" customHeight="false" outlineLevel="0" collapsed="false">
      <c r="C6" s="61" t="n">
        <v>37135</v>
      </c>
      <c r="E6" s="101" t="n">
        <v>2001</v>
      </c>
      <c r="F6" s="61"/>
      <c r="G6" s="101" t="n">
        <v>2002</v>
      </c>
      <c r="H6" s="61"/>
      <c r="I6" s="61" t="s">
        <v>214</v>
      </c>
      <c r="K6" s="88"/>
      <c r="L6" s="27"/>
      <c r="M6" s="27"/>
      <c r="N6" s="89"/>
      <c r="O6" s="101" t="n">
        <v>2002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/>
      <c r="G7" s="62" t="s">
        <v>118</v>
      </c>
      <c r="H7" s="62"/>
      <c r="I7" s="62" t="s">
        <v>215</v>
      </c>
      <c r="K7" s="88"/>
      <c r="L7" s="27"/>
      <c r="M7" s="27"/>
      <c r="N7" s="89"/>
      <c r="O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'[15]Executive Orig'!C8+[15]Trading!C8+[15]Origination!C8+'[15]Mid Market'!C8+[15]Services!C8+[15]Fundamentals!C8</f>
        <v>4789958.99</v>
      </c>
      <c r="E8" s="65" t="n">
        <f aca="false">(C8/9)*12</f>
        <v>6386611.98666667</v>
      </c>
      <c r="F8" s="65"/>
      <c r="G8" s="65" t="n">
        <v>120000</v>
      </c>
      <c r="H8" s="65"/>
      <c r="I8" s="91" t="n">
        <f aca="false">+G8/$G$23</f>
        <v>0.370679546215066</v>
      </c>
      <c r="K8" s="88" t="s">
        <v>120</v>
      </c>
      <c r="L8" s="50" t="n">
        <v>0</v>
      </c>
      <c r="M8" s="27" t="n">
        <f aca="false">+M11</f>
        <v>3</v>
      </c>
      <c r="N8" s="92" t="n">
        <f aca="false">N28</f>
        <v>339840</v>
      </c>
      <c r="O8" s="65" t="n">
        <f aca="false">+G8/$G$29*$O$29</f>
        <v>60000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'[15]Executive Orig'!C9+[15]Trading!C9+[15]Origination!C9+'[15]Mid Market'!C9+[15]Services!C9+[15]Fundamentals!C9</f>
        <v>1464000</v>
      </c>
      <c r="E9" s="65" t="n">
        <f aca="false">+C9</f>
        <v>1464000</v>
      </c>
      <c r="F9" s="65"/>
      <c r="G9" s="65"/>
      <c r="H9" s="65"/>
      <c r="I9" s="91" t="n">
        <f aca="false">+G9/$G$23</f>
        <v>0</v>
      </c>
      <c r="K9" s="88"/>
      <c r="L9" s="27"/>
      <c r="M9" s="27"/>
      <c r="N9" s="89"/>
      <c r="O9" s="65" t="n">
        <f aca="false">+G9/$G$29*$O$29</f>
        <v>0</v>
      </c>
    </row>
    <row r="10" customFormat="false" ht="12.75" hidden="false" customHeight="false" outlineLevel="0" collapsed="false">
      <c r="B10" s="64" t="s">
        <v>192</v>
      </c>
      <c r="C10" s="65" t="n">
        <f aca="false">'[15]Executive Orig'!C10+[15]Trading!C10+[15]Origination!C10+'[15]Mid Market'!C10+[15]Services!C10+[15]Fundamentals!C10</f>
        <v>804567</v>
      </c>
      <c r="E10" s="65" t="n">
        <f aca="false">(C10/9)*12</f>
        <v>1072756</v>
      </c>
      <c r="F10" s="65"/>
      <c r="G10" s="65" t="n">
        <v>97200</v>
      </c>
      <c r="H10" s="65"/>
      <c r="I10" s="91" t="n">
        <f aca="false">+G10/$G$23</f>
        <v>0.300250432434203</v>
      </c>
      <c r="K10" s="88"/>
      <c r="L10" s="27"/>
      <c r="M10" s="27"/>
      <c r="N10" s="89"/>
      <c r="O10" s="65" t="n">
        <f aca="false">+G10/$G$29*$O$29</f>
        <v>48600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'[15]Executive Orig'!C11+[15]Trading!C11+[15]Origination!C11+'[15]Mid Market'!C11+[15]Services!C11+[15]Fundamentals!C11</f>
        <v>1096068.21</v>
      </c>
      <c r="E11" s="65" t="n">
        <f aca="false">(C11/9)*12</f>
        <v>1461424.28</v>
      </c>
      <c r="F11" s="65"/>
      <c r="G11" s="65" t="n">
        <v>43440</v>
      </c>
      <c r="H11" s="65"/>
      <c r="I11" s="91" t="n">
        <f aca="false">+G11/$G$23</f>
        <v>0.134185995729854</v>
      </c>
      <c r="K11" s="88" t="s">
        <v>83</v>
      </c>
      <c r="L11" s="80" t="n">
        <f aca="false">(E12+E13+E14+E15+E16+E17+E18+E19+E20+E21+E22)/E29</f>
        <v>47533.8552808989</v>
      </c>
      <c r="M11" s="27" t="n">
        <f aca="false">M28</f>
        <v>3</v>
      </c>
      <c r="N11" s="92" t="n">
        <f aca="false">L11*M11</f>
        <v>142601.565842697</v>
      </c>
      <c r="O11" s="65" t="n">
        <f aca="false">+G11/$G$29*$O$29</f>
        <v>21720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'[15]Executive Orig'!C12+[15]Trading!C12+[15]Origination!C12+'[15]Mid Market'!C12+[15]Services!C12+[15]Fundamentals!C12</f>
        <v>658117.68</v>
      </c>
      <c r="E12" s="67" t="n">
        <f aca="false">((C12/9)*12)*1.2</f>
        <v>1052988.288</v>
      </c>
      <c r="F12" s="65"/>
      <c r="G12" s="65" t="n">
        <v>14400</v>
      </c>
      <c r="H12" s="65"/>
      <c r="I12" s="91" t="n">
        <f aca="false">+G12/$G$23</f>
        <v>0.0444815455458079</v>
      </c>
      <c r="K12" s="88"/>
      <c r="L12" s="27"/>
      <c r="M12" s="27"/>
      <c r="N12" s="89"/>
      <c r="O12" s="65" t="n">
        <f aca="false">+G12/$G$29*$O$29</f>
        <v>7200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'[15]Executive Orig'!C13+[15]Trading!C13+[15]Origination!C13+'[15]Mid Market'!C13+[15]Services!C13+[15]Fundamentals!C13</f>
        <v>719773.8</v>
      </c>
      <c r="E13" s="67" t="n">
        <f aca="false">((C13/9)*12)*1.2</f>
        <v>1151638.08</v>
      </c>
      <c r="F13" s="65"/>
      <c r="G13" s="65" t="n">
        <v>27800</v>
      </c>
      <c r="H13" s="65"/>
      <c r="I13" s="91" t="n">
        <f aca="false">+G13/$G$23</f>
        <v>0.0858740948731569</v>
      </c>
      <c r="K13" s="93" t="s">
        <v>129</v>
      </c>
      <c r="L13" s="94"/>
      <c r="M13" s="94"/>
      <c r="N13" s="95" t="n">
        <f aca="false">N8+N11</f>
        <v>482441.565842697</v>
      </c>
      <c r="O13" s="65" t="n">
        <f aca="false">+G13/$G$29*$O$29</f>
        <v>13900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'[15]Executive Orig'!C14+[15]Trading!C14+[15]Origination!C14+'[15]Mid Market'!C14+[15]Services!C14+[15]Fundamentals!C14-C32</f>
        <v>0.239999999757856</v>
      </c>
      <c r="E14" s="67" t="n">
        <f aca="false">((C14/9)*12)*1.2</f>
        <v>0.38399999961257</v>
      </c>
      <c r="F14" s="65"/>
      <c r="G14" s="65" t="n">
        <v>0.00862921347443977</v>
      </c>
      <c r="H14" s="65"/>
      <c r="I14" s="91" t="n">
        <f aca="false">+G14/$G$23</f>
        <v>2.66556077908189E-008</v>
      </c>
      <c r="O14" s="65" t="n">
        <f aca="false">+G14/$G$29*$O$29</f>
        <v>0.00431460673721988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'[15]Executive Orig'!C15+[15]Trading!C15+[15]Origination!C15+'[15]Mid Market'!C15+[15]Services!C15+[15]Fundamentals!C15</f>
        <v>128890.14</v>
      </c>
      <c r="E15" s="67" t="n">
        <f aca="false">((C15/9)*12)*1.2</f>
        <v>206224.224</v>
      </c>
      <c r="F15" s="65"/>
      <c r="G15" s="65" t="n">
        <v>5760</v>
      </c>
      <c r="H15" s="65"/>
      <c r="I15" s="91" t="n">
        <f aca="false">+G15/$G$23</f>
        <v>0.0177926182183232</v>
      </c>
      <c r="O15" s="65" t="n">
        <f aca="false">+G15/$G$29*$O$29</f>
        <v>2880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'[15]Executive Orig'!C16+[15]Trading!C16+[15]Origination!C16+'[15]Mid Market'!C16+[15]Services!C16+[15]Fundamentals!C16</f>
        <v>0</v>
      </c>
      <c r="E16" s="67" t="n">
        <f aca="false">((C16/9)*12)*1.2</f>
        <v>0</v>
      </c>
      <c r="F16" s="65"/>
      <c r="G16" s="65" t="n">
        <v>0</v>
      </c>
      <c r="H16" s="65"/>
      <c r="I16" s="91" t="n">
        <f aca="false">+G16/$G$23</f>
        <v>0</v>
      </c>
      <c r="K16" s="0" t="s">
        <v>193</v>
      </c>
      <c r="L16" s="50" t="n">
        <v>33600</v>
      </c>
      <c r="M16" s="0" t="n">
        <v>0</v>
      </c>
      <c r="N16" s="50" t="n">
        <f aca="false">L16*M16</f>
        <v>0</v>
      </c>
      <c r="O16" s="65" t="n">
        <f aca="false">+G16/$G$29*$O$29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'[15]Executive Orig'!C17+[15]Trading!C17+[15]Origination!C17+'[15]Mid Market'!C17+[15]Services!C17+[15]Fundamentals!C17</f>
        <v>11300</v>
      </c>
      <c r="E17" s="67" t="n">
        <f aca="false">((C17/9)*12)*1.2</f>
        <v>18080</v>
      </c>
      <c r="F17" s="65"/>
      <c r="G17" s="65" t="n">
        <v>0</v>
      </c>
      <c r="H17" s="65"/>
      <c r="I17" s="91" t="n">
        <f aca="false">+G17/$G$23</f>
        <v>0</v>
      </c>
      <c r="K17" s="0" t="s">
        <v>139</v>
      </c>
      <c r="L17" s="50" t="n">
        <v>52800</v>
      </c>
      <c r="M17" s="0" t="n">
        <v>0</v>
      </c>
      <c r="N17" s="50" t="n">
        <f aca="false">L17*M17</f>
        <v>0</v>
      </c>
      <c r="O17" s="65" t="n">
        <f aca="false">+G17/$G$29*$O$29</f>
        <v>0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'[15]Executive Orig'!C18+[15]Trading!C18+[15]Origination!C18+'[15]Mid Market'!C18+[15]Services!C18+[15]Fundamentals!C18</f>
        <v>327447.74</v>
      </c>
      <c r="E18" s="67" t="n">
        <f aca="false">((C18/9)*12)*1.2</f>
        <v>523916.384</v>
      </c>
      <c r="F18" s="65"/>
      <c r="G18" s="65" t="n">
        <v>1800</v>
      </c>
      <c r="H18" s="65"/>
      <c r="I18" s="91" t="n">
        <f aca="false">+G18/$G$23</f>
        <v>0.00556019319322599</v>
      </c>
      <c r="K18" s="0" t="s">
        <v>142</v>
      </c>
      <c r="L18" s="50" t="n">
        <v>54000</v>
      </c>
      <c r="M18" s="0" t="n">
        <v>0</v>
      </c>
      <c r="N18" s="50" t="n">
        <f aca="false">L18*M18</f>
        <v>0</v>
      </c>
      <c r="O18" s="65" t="n">
        <f aca="false">+G18/$G$29*$O$29</f>
        <v>900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'[15]Executive Orig'!C19+[15]Trading!C19+[15]Origination!C19+'[15]Mid Market'!C19+[15]Services!C19+[15]Fundamentals!C19</f>
        <v>155845.37</v>
      </c>
      <c r="E19" s="67" t="n">
        <f aca="false">((C19/9)*12)*1.2</f>
        <v>249352.592</v>
      </c>
      <c r="F19" s="65"/>
      <c r="G19" s="65" t="n">
        <v>5603.42903370787</v>
      </c>
      <c r="H19" s="65"/>
      <c r="I19" s="91" t="n">
        <f aca="false">+G19/$G$23</f>
        <v>0.0173089710955263</v>
      </c>
      <c r="K19" s="0" t="s">
        <v>145</v>
      </c>
      <c r="L19" s="50" t="n">
        <v>63000</v>
      </c>
      <c r="M19" s="0" t="n">
        <v>0</v>
      </c>
      <c r="N19" s="50" t="n">
        <f aca="false">L19*M19</f>
        <v>0</v>
      </c>
      <c r="O19" s="65" t="n">
        <f aca="false">+G19/$G$29*$O$29</f>
        <v>2801.71451685393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'[15]Executive Orig'!C20+[15]Trading!C20+[15]Origination!C20+'[15]Mid Market'!C20+[15]Services!C20+[15]Fundamentals!C20</f>
        <v>116.15</v>
      </c>
      <c r="E20" s="67" t="n">
        <f aca="false">((C20/9)*12)*1.2</f>
        <v>185.84</v>
      </c>
      <c r="F20" s="65"/>
      <c r="G20" s="65" t="n">
        <v>4.1761797752809</v>
      </c>
      <c r="H20" s="65"/>
      <c r="I20" s="91" t="n">
        <f aca="false">+G20/$G$23</f>
        <v>1.29002035334472E-005</v>
      </c>
      <c r="K20" s="0" t="s">
        <v>148</v>
      </c>
      <c r="L20" s="50" t="n">
        <v>78000</v>
      </c>
      <c r="M20" s="0" t="n">
        <f aca="false">2-2</f>
        <v>0</v>
      </c>
      <c r="N20" s="50" t="n">
        <f aca="false">L20*M20</f>
        <v>0</v>
      </c>
      <c r="O20" s="65" t="n">
        <f aca="false">+G20/$G$29*$O$29</f>
        <v>2.08808988764045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'[15]Executive Orig'!C21+[15]Trading!C21+[15]Origination!C21+'[15]Mid Market'!C21+[15]Services!C21+[15]Fundamentals!C21</f>
        <v>566869.93</v>
      </c>
      <c r="E21" s="67" t="n">
        <f aca="false">((C21/9)*12)*1.2</f>
        <v>906991.888</v>
      </c>
      <c r="F21" s="65"/>
      <c r="G21" s="65" t="n">
        <v>5000</v>
      </c>
      <c r="H21" s="65"/>
      <c r="I21" s="91" t="n">
        <f aca="false">+G21/$G$23</f>
        <v>0.0154449810922944</v>
      </c>
      <c r="K21" s="0" t="s">
        <v>151</v>
      </c>
      <c r="L21" s="50" t="n">
        <v>66000</v>
      </c>
      <c r="M21" s="0" t="n">
        <v>1</v>
      </c>
      <c r="N21" s="50" t="n">
        <f aca="false">L21*M21</f>
        <v>66000</v>
      </c>
      <c r="O21" s="65" t="n">
        <f aca="false">+G21/$G$29*$O$29</f>
        <v>2500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'[15]Executive Orig'!C22+[15]Trading!C22+[15]Origination!C22+'[15]Mid Market'!C22+[15]Services!C22+[15]Fundamentals!C22</f>
        <v>75709.65</v>
      </c>
      <c r="E22" s="67" t="n">
        <f aca="false">((C22/9)*12)*1.2</f>
        <v>121135.44</v>
      </c>
      <c r="F22" s="65"/>
      <c r="G22" s="65" t="n">
        <v>2722.14471910112</v>
      </c>
      <c r="H22" s="65"/>
      <c r="I22" s="91" t="n">
        <f aca="false">+G22/$G$23</f>
        <v>0.00840869474340118</v>
      </c>
      <c r="K22" s="0" t="s">
        <v>154</v>
      </c>
      <c r="L22" s="50" t="n">
        <v>97200</v>
      </c>
      <c r="M22" s="0" t="n">
        <v>1</v>
      </c>
      <c r="N22" s="50" t="n">
        <f aca="false">L22*M22</f>
        <v>97200</v>
      </c>
      <c r="O22" s="65" t="n">
        <f aca="false">+G22/$G$29*$O$29</f>
        <v>1361.07235955056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v>323729.758561798</v>
      </c>
      <c r="H23" s="76"/>
      <c r="I23" s="97" t="n">
        <f aca="false">SUM(I8:I22)</f>
        <v>1</v>
      </c>
      <c r="K23" s="0" t="s">
        <v>157</v>
      </c>
      <c r="L23" s="50" t="n">
        <v>120000</v>
      </c>
      <c r="M23" s="0" t="n">
        <v>1</v>
      </c>
      <c r="N23" s="50" t="n">
        <f aca="false">L23*M23</f>
        <v>120000</v>
      </c>
      <c r="O23" s="74" t="n">
        <f aca="false">SUM(O8:O22)</f>
        <v>161864.879280899</v>
      </c>
    </row>
    <row r="24" customFormat="false" ht="12.75" hidden="false" customHeight="false" outlineLevel="0" collapsed="false">
      <c r="K24" s="0" t="s">
        <v>158</v>
      </c>
      <c r="L24" s="50" t="n">
        <v>156000</v>
      </c>
      <c r="M24" s="0" t="n">
        <f aca="false">1-1</f>
        <v>0</v>
      </c>
      <c r="N24" s="50" t="n">
        <f aca="false">L24*M24</f>
        <v>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'[15]Executive Orig'!E25+[15]Trading!E25+[15]Origination!E25+'[15]Mid Market'!E25+[15]Services!E25+[15]Fundamentals!E25</f>
        <v>74</v>
      </c>
      <c r="F25" s="65"/>
      <c r="G25" s="77" t="n">
        <v>1</v>
      </c>
      <c r="H25" s="65"/>
      <c r="K25" s="0" t="s">
        <v>159</v>
      </c>
      <c r="L25" s="50" t="n">
        <v>180000</v>
      </c>
      <c r="M25" s="0" t="n">
        <v>0</v>
      </c>
      <c r="N25" s="50" t="n">
        <f aca="false">L25*M25</f>
        <v>0</v>
      </c>
      <c r="O25" s="77" t="n">
        <v>1</v>
      </c>
    </row>
    <row r="26" customFormat="false" ht="12.75" hidden="false" customHeight="false" outlineLevel="0" collapsed="false">
      <c r="C26" s="65"/>
      <c r="E26" s="65"/>
      <c r="F26" s="65"/>
      <c r="G26" s="65"/>
      <c r="H26" s="65"/>
      <c r="K26" s="0" t="s">
        <v>160</v>
      </c>
      <c r="L26" s="50" t="n">
        <v>216000</v>
      </c>
      <c r="M26" s="0" t="n">
        <v>0</v>
      </c>
      <c r="N26" s="50" t="n">
        <f aca="false">L26*M26</f>
        <v>0</v>
      </c>
      <c r="O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'[15]Executive Orig'!E27+[15]Trading!E27+[15]Origination!E27+'[15]Mid Market'!E27+[15]Services!E27+[15]Fundamentals!E27</f>
        <v>15</v>
      </c>
      <c r="F27" s="65"/>
      <c r="G27" s="77" t="n">
        <v>1</v>
      </c>
      <c r="H27" s="65"/>
      <c r="K27" s="0" t="s">
        <v>162</v>
      </c>
      <c r="L27" s="50" t="n">
        <v>240000</v>
      </c>
      <c r="M27" s="0" t="n">
        <v>0</v>
      </c>
      <c r="N27" s="50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50" t="n">
        <f aca="false">SUM(N16:N27)*1.2</f>
        <v>339840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+E27+E25</f>
        <v>89</v>
      </c>
      <c r="F29" s="65"/>
      <c r="G29" s="77" t="n">
        <v>2</v>
      </c>
      <c r="H29" s="65"/>
      <c r="I29" s="50"/>
      <c r="O29" s="77" t="n">
        <f aca="false">+O27+O25</f>
        <v>1</v>
      </c>
    </row>
    <row r="31" customFormat="false" ht="12.75" hidden="false" customHeight="false" outlineLevel="0" collapsed="false">
      <c r="J31" s="17" t="s">
        <v>164</v>
      </c>
      <c r="K31" s="50"/>
      <c r="L31" s="50"/>
      <c r="M31" s="50"/>
    </row>
    <row r="32" customFormat="false" ht="12.75" hidden="true" customHeight="false" outlineLevel="0" collapsed="false">
      <c r="B32" s="64" t="s">
        <v>131</v>
      </c>
      <c r="C32" s="65" t="n">
        <v>677322</v>
      </c>
      <c r="K32" s="50"/>
      <c r="L32" s="50"/>
      <c r="M32" s="50"/>
    </row>
    <row r="33" customFormat="false" ht="12.75" hidden="false" customHeight="false" outlineLevel="0" collapsed="false">
      <c r="J33" s="79" t="s">
        <v>165</v>
      </c>
      <c r="K33" s="80" t="s">
        <v>166</v>
      </c>
      <c r="L33" s="80" t="s">
        <v>167</v>
      </c>
      <c r="M33" s="80" t="s">
        <v>110</v>
      </c>
      <c r="N33" s="80" t="s">
        <v>168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3</v>
      </c>
      <c r="N34" s="80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50" width="12.85"/>
    <col collapsed="false" customWidth="true" hidden="true" outlineLevel="0" max="10" min="10" style="50" width="11.28"/>
    <col collapsed="false" customWidth="true" hidden="true" outlineLevel="0" max="11" min="11" style="50" width="9.28"/>
    <col collapsed="false" customWidth="true" hidden="true" outlineLevel="0" max="12" min="12" style="50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2"/>
      <c r="J1" s="52"/>
      <c r="K1" s="52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customFormat="false" ht="18" hidden="false" customHeight="false" outlineLevel="0" collapsed="false">
      <c r="B2" s="51" t="s">
        <v>331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2"/>
      <c r="J3" s="52"/>
      <c r="K3" s="52"/>
      <c r="L3" s="5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customFormat="false" ht="12.75" hidden="false" customHeight="false" outlineLevel="0" collapsed="false">
      <c r="I4" s="56"/>
      <c r="J4" s="57"/>
      <c r="K4" s="57"/>
      <c r="L4" s="58"/>
    </row>
    <row r="5" customFormat="false" ht="12.75" hidden="false" customHeight="false" outlineLevel="0" collapsed="false">
      <c r="I5" s="59"/>
      <c r="J5" s="50" t="s">
        <v>109</v>
      </c>
      <c r="K5" s="50" t="s">
        <v>110</v>
      </c>
      <c r="L5" s="60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G6" s="61" t="s">
        <v>113</v>
      </c>
      <c r="H6" s="61" t="s">
        <v>114</v>
      </c>
      <c r="I6" s="59"/>
      <c r="L6" s="60"/>
      <c r="Q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G7" s="62" t="s">
        <v>117</v>
      </c>
      <c r="H7" s="62" t="s">
        <v>118</v>
      </c>
      <c r="I7" s="59"/>
      <c r="L7" s="60"/>
      <c r="Q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5" t="n">
        <f aca="false">((C8/9)*12)</f>
        <v>11530476.88</v>
      </c>
      <c r="G8" s="66" t="n">
        <f aca="false">E8/$E$23</f>
        <v>0.528778555954281</v>
      </c>
      <c r="H8" s="65" t="n">
        <f aca="false">L28-H10</f>
        <v>475200</v>
      </c>
      <c r="I8" s="59" t="s">
        <v>120</v>
      </c>
      <c r="J8" s="50" t="n">
        <v>0</v>
      </c>
      <c r="L8" s="60" t="n">
        <f aca="false">L30</f>
        <v>570240</v>
      </c>
      <c r="Q8" s="65" t="n">
        <f aca="false">+H8/$H$29*$Q$29</f>
        <v>158400</v>
      </c>
    </row>
    <row r="9" customFormat="false" ht="12.75" hidden="true" customHeight="false" outlineLevel="0" collapsed="false">
      <c r="A9" s="63"/>
      <c r="B9" s="64" t="s">
        <v>121</v>
      </c>
      <c r="C9" s="65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5" t="n">
        <v>0</v>
      </c>
      <c r="G9" s="66" t="n">
        <f aca="false">E9/$E$23</f>
        <v>0</v>
      </c>
      <c r="H9" s="65" t="n">
        <v>0</v>
      </c>
      <c r="I9" s="59"/>
      <c r="L9" s="60"/>
      <c r="Q9" s="65" t="n">
        <f aca="false">+H9/$H$29*$Q$29</f>
        <v>0</v>
      </c>
    </row>
    <row r="10" customFormat="false" ht="12.75" hidden="false" customHeight="false" outlineLevel="0" collapsed="false">
      <c r="A10" s="63"/>
      <c r="B10" s="64" t="s">
        <v>122</v>
      </c>
      <c r="C10" s="65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5"/>
      <c r="E10" s="65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6" t="n">
        <f aca="false">E10/$E$23</f>
        <v>0.00377976191391553</v>
      </c>
      <c r="H10" s="65" t="n">
        <f aca="false">L21+L22</f>
        <v>0</v>
      </c>
      <c r="I10" s="59"/>
      <c r="L10" s="60"/>
      <c r="Q10" s="65" t="n">
        <f aca="false">+H10/$H$29*$Q$29</f>
        <v>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5" t="n">
        <f aca="false">((C11/9)*12)</f>
        <v>2469743.93333333</v>
      </c>
      <c r="G11" s="66" t="n">
        <f aca="false">E11/$E$23</f>
        <v>0.113260504681299</v>
      </c>
      <c r="H11" s="65" t="n">
        <f aca="false">L30-L28</f>
        <v>95040</v>
      </c>
      <c r="I11" s="59" t="s">
        <v>83</v>
      </c>
      <c r="J11" s="50" t="n">
        <f aca="false">(E12+E13+E14+E15+E16+E17+E18+E19+E20+E21+E22)/E29</f>
        <v>48270.18125</v>
      </c>
      <c r="K11" s="50" t="n">
        <f aca="false">K28</f>
        <v>3</v>
      </c>
      <c r="L11" s="60" t="n">
        <f aca="false">J11*K11</f>
        <v>144810.54375</v>
      </c>
      <c r="Q11" s="65" t="n">
        <f aca="false">+H11/$H$29*$Q$29</f>
        <v>31680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7" t="n">
        <f aca="false">((C12/9)*12)-500000</f>
        <v>985995.8</v>
      </c>
      <c r="G12" s="66" t="n">
        <f aca="false">E12/$E$23</f>
        <v>0.0452169880506265</v>
      </c>
      <c r="H12" s="65" t="n">
        <f aca="false">(E12/$E$29)*$K$11</f>
        <v>18487.42125</v>
      </c>
      <c r="I12" s="59"/>
      <c r="L12" s="60"/>
      <c r="Q12" s="65" t="n">
        <f aca="false">+H12/$H$29*$Q$29</f>
        <v>6162.47375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7" t="n">
        <f aca="false">((C13/9)*12)-500000-500000</f>
        <v>877593.106666667</v>
      </c>
      <c r="G13" s="66" t="n">
        <f aca="false">E13/$E$23</f>
        <v>0.0402457262165406</v>
      </c>
      <c r="H13" s="65" t="n">
        <f aca="false">(E13/$E$29)*$K$11</f>
        <v>16454.87075</v>
      </c>
      <c r="I13" s="68" t="s">
        <v>129</v>
      </c>
      <c r="J13" s="69"/>
      <c r="K13" s="69"/>
      <c r="L13" s="70" t="n">
        <f aca="false">L8+L11</f>
        <v>715050.54375</v>
      </c>
      <c r="N13" s="50" t="n">
        <v>24109311.029375</v>
      </c>
      <c r="P13" s="71" t="n">
        <f aca="false">N13-L13</f>
        <v>23394260.485625</v>
      </c>
      <c r="Q13" s="65" t="n">
        <f aca="false">+H13/$H$29*$Q$29</f>
        <v>5484.95691666667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7" t="n">
        <f aca="false">(C14/9)*12</f>
        <v>0.320000000026387</v>
      </c>
      <c r="G14" s="66" t="n">
        <f aca="false">E14/$E$23</f>
        <v>1.46749470711677E-008</v>
      </c>
      <c r="H14" s="65" t="n">
        <f aca="false">(E14/$E$29)*$K$11</f>
        <v>0.00600000000049476</v>
      </c>
      <c r="Q14" s="65" t="n">
        <f aca="false">+H14/$H$29*$Q$29</f>
        <v>0.00200000000016492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7" t="n">
        <f aca="false">((C15/9)*12)-75000</f>
        <v>139417.333333333</v>
      </c>
      <c r="G15" s="66" t="n">
        <f aca="false">E15/$E$23</f>
        <v>0.00639356871031657</v>
      </c>
      <c r="H15" s="65" t="n">
        <f aca="false">(E15/$E$29)*$K$11</f>
        <v>2614.075</v>
      </c>
      <c r="Q15" s="65" t="n">
        <f aca="false">+H15/$H$29*$Q$29</f>
        <v>871.358333333333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7" t="n">
        <f aca="false">(C16/9)*12</f>
        <v>0</v>
      </c>
      <c r="G16" s="66" t="n">
        <f aca="false">E16/$E$23</f>
        <v>0</v>
      </c>
      <c r="H16" s="65" t="n">
        <f aca="false">(E16/$E$29)*$K$11</f>
        <v>0</v>
      </c>
      <c r="I16" s="50" t="s">
        <v>136</v>
      </c>
      <c r="J16" s="50" t="n">
        <v>33000</v>
      </c>
      <c r="K16" s="50" t="n">
        <f aca="false">1-1</f>
        <v>0</v>
      </c>
      <c r="L16" s="50" t="n">
        <f aca="false">J16*K16</f>
        <v>0</v>
      </c>
      <c r="Q16" s="65" t="n">
        <f aca="false">+H16/$H$29*$Q$29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7" t="n">
        <f aca="false">((C17/9)*12)</f>
        <v>7866.66666666667</v>
      </c>
      <c r="G17" s="66" t="n">
        <f aca="false">E17/$E$23</f>
        <v>0.000360759115469791</v>
      </c>
      <c r="H17" s="65" t="n">
        <f aca="false">(E17/$E$29)*$K$11</f>
        <v>147.5</v>
      </c>
      <c r="I17" s="50" t="s">
        <v>139</v>
      </c>
      <c r="J17" s="50" t="n">
        <v>48400</v>
      </c>
      <c r="K17" s="50" t="n">
        <v>0</v>
      </c>
      <c r="L17" s="50" t="n">
        <f aca="false">J17*K17</f>
        <v>0</v>
      </c>
      <c r="Q17" s="65" t="n">
        <f aca="false">+H17/$H$29*$Q$29</f>
        <v>49.1666666666667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7" t="n">
        <f aca="false">((C18/9)*12)-250000-75000</f>
        <v>142873.226666667</v>
      </c>
      <c r="G18" s="66" t="n">
        <f aca="false">E18/$E$23</f>
        <v>0.00655205324702309</v>
      </c>
      <c r="H18" s="65" t="n">
        <f aca="false">(E18/$E$29)*$K$11</f>
        <v>2678.873</v>
      </c>
      <c r="I18" s="50" t="s">
        <v>142</v>
      </c>
      <c r="J18" s="50" t="n">
        <v>49500</v>
      </c>
      <c r="K18" s="50" t="n">
        <v>0</v>
      </c>
      <c r="L18" s="50" t="n">
        <f aca="false">J18*K18</f>
        <v>0</v>
      </c>
      <c r="Q18" s="65" t="n">
        <f aca="false">+H18/$H$29*$Q$29</f>
        <v>892.957666666667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7" t="n">
        <f aca="false">((C19/9)*12)-75000-75000-50000-25000</f>
        <v>145613.76</v>
      </c>
      <c r="G19" s="66" t="n">
        <f aca="false">E19/$E$23</f>
        <v>0.00667773193955472</v>
      </c>
      <c r="H19" s="65" t="n">
        <f aca="false">(E19/$E$29)*$K$11</f>
        <v>2730.258</v>
      </c>
      <c r="I19" s="50" t="s">
        <v>145</v>
      </c>
      <c r="J19" s="50" t="n">
        <v>57750</v>
      </c>
      <c r="K19" s="50" t="n">
        <v>0</v>
      </c>
      <c r="L19" s="50" t="n">
        <f aca="false">J19*K19</f>
        <v>0</v>
      </c>
      <c r="Q19" s="65" t="n">
        <f aca="false">+H19/$H$29*$Q$29</f>
        <v>910.086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7" t="n">
        <f aca="false">((C20/9)*12)</f>
        <v>21.3333333333333</v>
      </c>
      <c r="G20" s="66" t="n">
        <f aca="false">E20/$E$23</f>
        <v>9.7832980466384E-007</v>
      </c>
      <c r="H20" s="65" t="n">
        <f aca="false">(E20/$E$29)*$K$11</f>
        <v>0.4</v>
      </c>
      <c r="I20" s="50" t="s">
        <v>148</v>
      </c>
      <c r="J20" s="50" t="n">
        <v>71500</v>
      </c>
      <c r="K20" s="50" t="n">
        <v>0</v>
      </c>
      <c r="L20" s="50" t="n">
        <f aca="false">J20*K20</f>
        <v>0</v>
      </c>
      <c r="Q20" s="65" t="n">
        <f aca="false">+H20/$H$29*$Q$29</f>
        <v>0.133333333333333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7" t="n">
        <f aca="false">((C21/9)*12)-75000</f>
        <v>181051.88</v>
      </c>
      <c r="G21" s="66" t="n">
        <f aca="false">E21/$E$23</f>
        <v>0.00830289611223848</v>
      </c>
      <c r="H21" s="65" t="n">
        <f aca="false">(E21/$E$29)*$K$11</f>
        <v>3394.72275</v>
      </c>
      <c r="I21" s="50" t="s">
        <v>151</v>
      </c>
      <c r="J21" s="50" t="n">
        <v>60500</v>
      </c>
      <c r="K21" s="50" t="n">
        <f aca="false">6-5-1</f>
        <v>0</v>
      </c>
      <c r="L21" s="50" t="n">
        <f aca="false">J21*K21</f>
        <v>0</v>
      </c>
      <c r="Q21" s="65" t="n">
        <f aca="false">+H21/$H$29*$Q$29</f>
        <v>1131.57425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7" t="n">
        <f aca="false">((C22/9)*12)-1000000-100000</f>
        <v>5242795.57333334</v>
      </c>
      <c r="G22" s="66" t="n">
        <f aca="false">E22/$E$23</f>
        <v>0.240430461053984</v>
      </c>
      <c r="H22" s="65" t="n">
        <f aca="false">(E22/$E$29)*$K$11-98302</f>
        <v>0.417000000044936</v>
      </c>
      <c r="I22" s="50" t="s">
        <v>154</v>
      </c>
      <c r="J22" s="50" t="n">
        <v>89100</v>
      </c>
      <c r="K22" s="50" t="n">
        <v>0</v>
      </c>
      <c r="L22" s="50" t="n">
        <f aca="false">J22*K22</f>
        <v>0</v>
      </c>
      <c r="Q22" s="65" t="n">
        <f aca="false">+H22/$H$29*$Q$29</f>
        <v>0.139000000014979</v>
      </c>
    </row>
    <row r="23" customFormat="false" ht="12.75" hidden="false" customHeight="false" outlineLevel="0" collapsed="false">
      <c r="A23" s="72" t="s">
        <v>155</v>
      </c>
      <c r="B23" s="73" t="s">
        <v>156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616748.54375</v>
      </c>
      <c r="I23" s="50" t="s">
        <v>157</v>
      </c>
      <c r="J23" s="50" t="n">
        <v>110000</v>
      </c>
      <c r="K23" s="50" t="n">
        <v>1</v>
      </c>
      <c r="L23" s="50" t="n">
        <f aca="false">J23*K23</f>
        <v>110000</v>
      </c>
      <c r="Q23" s="74" t="n">
        <f aca="false">SUM(Q8:Q22)</f>
        <v>205582.847916667</v>
      </c>
    </row>
    <row r="24" customFormat="false" ht="12.75" hidden="false" customHeight="false" outlineLevel="0" collapsed="false">
      <c r="I24" s="50" t="s">
        <v>158</v>
      </c>
      <c r="J24" s="50" t="n">
        <v>143000</v>
      </c>
      <c r="K24" s="50" t="n">
        <v>2</v>
      </c>
      <c r="L24" s="50" t="n">
        <f aca="false">J24*K24</f>
        <v>286000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3</v>
      </c>
      <c r="I25" s="50" t="s">
        <v>159</v>
      </c>
      <c r="J25" s="50" t="n">
        <v>165000</v>
      </c>
      <c r="K25" s="50" t="n">
        <v>0</v>
      </c>
      <c r="L25" s="50" t="n">
        <f aca="false">J25*K25</f>
        <v>0</v>
      </c>
      <c r="Q25" s="77" t="n">
        <v>1</v>
      </c>
    </row>
    <row r="26" customFormat="false" ht="12.75" hidden="false" customHeight="false" outlineLevel="0" collapsed="false">
      <c r="C26" s="65"/>
      <c r="E26" s="65"/>
      <c r="H26" s="65"/>
      <c r="I26" s="50" t="s">
        <v>160</v>
      </c>
      <c r="J26" s="50" t="n">
        <v>198000</v>
      </c>
      <c r="K26" s="50" t="n">
        <v>0</v>
      </c>
      <c r="L26" s="50" t="n">
        <f aca="false">J26*K26</f>
        <v>0</v>
      </c>
      <c r="Q26" s="65"/>
    </row>
    <row r="27" customFormat="false" ht="12.75" hidden="false" customHeight="false" outlineLevel="0" collapsed="false">
      <c r="B27" s="73" t="s">
        <v>161</v>
      </c>
      <c r="C27" s="65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50" t="s">
        <v>162</v>
      </c>
      <c r="J27" s="50" t="n">
        <v>220000</v>
      </c>
      <c r="K27" s="50" t="n">
        <v>0</v>
      </c>
      <c r="L27" s="50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50" t="n">
        <f aca="false">SUM(K16:K27)</f>
        <v>3</v>
      </c>
      <c r="L28" s="50" t="n">
        <f aca="false">SUM(L16:L27)*1.2</f>
        <v>475200</v>
      </c>
    </row>
    <row r="29" customFormat="false" ht="12.75" hidden="false" customHeight="false" outlineLevel="0" collapsed="false">
      <c r="B29" s="73" t="s">
        <v>163</v>
      </c>
      <c r="C29" s="65"/>
      <c r="E29" s="77" t="n">
        <f aca="false">SUM(E25:E27)</f>
        <v>160</v>
      </c>
      <c r="G29" s="50"/>
      <c r="H29" s="77" t="n">
        <f aca="false">SUM(H25:H27)</f>
        <v>3</v>
      </c>
      <c r="L29" s="78" t="n">
        <v>0.2</v>
      </c>
      <c r="Q29" s="77" t="n">
        <f aca="false">SUM(Q25:Q27)</f>
        <v>1</v>
      </c>
    </row>
    <row r="30" customFormat="false" ht="12.75" hidden="true" customHeight="false" outlineLevel="0" collapsed="false">
      <c r="L30" s="50" t="n">
        <f aca="false">L28*1.2</f>
        <v>570240</v>
      </c>
    </row>
    <row r="31" customFormat="false" ht="12.75" hidden="true" customHeight="false" outlineLevel="0" collapsed="false">
      <c r="H31" s="17" t="s">
        <v>164</v>
      </c>
      <c r="L31" s="0"/>
    </row>
    <row r="32" customFormat="false" ht="12.75" hidden="true" customHeight="false" outlineLevel="0" collapsed="false">
      <c r="B32" s="64" t="s">
        <v>131</v>
      </c>
      <c r="C32" s="65" t="n">
        <v>254512</v>
      </c>
      <c r="L32" s="0"/>
    </row>
    <row r="33" customFormat="false" ht="12.75" hidden="true" customHeight="false" outlineLevel="0" collapsed="false">
      <c r="H33" s="79" t="s">
        <v>165</v>
      </c>
      <c r="I33" s="80" t="s">
        <v>166</v>
      </c>
      <c r="J33" s="80" t="s">
        <v>167</v>
      </c>
      <c r="K33" s="80" t="s">
        <v>110</v>
      </c>
      <c r="L33" s="80" t="s">
        <v>168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3</v>
      </c>
      <c r="L34" s="80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51" t="str">
        <f aca="false">'[3]Team Report'!B1</f>
        <v>Enron North America</v>
      </c>
      <c r="C1" s="51"/>
      <c r="D1" s="51"/>
      <c r="E1" s="51"/>
      <c r="F1" s="51"/>
      <c r="G1" s="51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customFormat="false" ht="18" hidden="false" customHeight="false" outlineLevel="0" collapsed="false">
      <c r="B2" s="51" t="s">
        <v>332</v>
      </c>
      <c r="C2" s="51"/>
      <c r="D2" s="51"/>
      <c r="E2" s="51"/>
      <c r="F2" s="51"/>
      <c r="G2" s="51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customFormat="false" ht="18.75" hidden="false" customHeight="false" outlineLevel="0" collapsed="false">
      <c r="B3" s="54" t="s">
        <v>1</v>
      </c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7" t="s">
        <v>109</v>
      </c>
      <c r="L5" s="27" t="s">
        <v>110</v>
      </c>
      <c r="M5" s="89" t="s">
        <v>111</v>
      </c>
    </row>
    <row r="6" customFormat="false" ht="12.75" hidden="false" customHeight="false" outlineLevel="0" collapsed="false">
      <c r="C6" s="61" t="n">
        <v>37135</v>
      </c>
      <c r="E6" s="61" t="s">
        <v>112</v>
      </c>
      <c r="F6" s="61" t="s">
        <v>114</v>
      </c>
      <c r="H6" s="90" t="s">
        <v>113</v>
      </c>
      <c r="J6" s="88"/>
      <c r="K6" s="27"/>
      <c r="L6" s="27"/>
      <c r="M6" s="89"/>
      <c r="N6" s="61" t="s">
        <v>114</v>
      </c>
    </row>
    <row r="7" customFormat="false" ht="12.75" hidden="false" customHeight="false" outlineLevel="0" collapsed="false">
      <c r="C7" s="62" t="s">
        <v>115</v>
      </c>
      <c r="E7" s="62" t="s">
        <v>116</v>
      </c>
      <c r="F7" s="62" t="s">
        <v>118</v>
      </c>
      <c r="H7" s="90" t="s">
        <v>117</v>
      </c>
      <c r="J7" s="88"/>
      <c r="K7" s="27"/>
      <c r="L7" s="27"/>
      <c r="M7" s="89"/>
      <c r="N7" s="62" t="s">
        <v>118</v>
      </c>
    </row>
    <row r="8" customFormat="false" ht="12.75" hidden="false" customHeight="false" outlineLevel="0" collapsed="false">
      <c r="A8" s="63" t="s">
        <v>119</v>
      </c>
      <c r="B8" s="64" t="s">
        <v>120</v>
      </c>
      <c r="C8" s="65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5" t="n">
        <f aca="false">(C8/9)*12</f>
        <v>8854366.4</v>
      </c>
      <c r="F8" s="65" t="n">
        <f aca="false">M16+M17+M18+M19+M20+M23+M24+M26</f>
        <v>432000</v>
      </c>
      <c r="H8" s="91" t="n">
        <f aca="false">E8/$E$23</f>
        <v>0.43476545989392</v>
      </c>
      <c r="J8" s="88" t="s">
        <v>120</v>
      </c>
      <c r="K8" s="50" t="n">
        <v>0</v>
      </c>
      <c r="L8" s="27"/>
      <c r="M8" s="92" t="n">
        <f aca="false">M28*1.2</f>
        <v>676800</v>
      </c>
      <c r="N8" s="65" t="n">
        <f aca="false">+F8/$F$29*$N$29</f>
        <v>72000</v>
      </c>
    </row>
    <row r="9" customFormat="false" ht="12.75" hidden="false" customHeight="false" outlineLevel="0" collapsed="false">
      <c r="A9" s="63"/>
      <c r="B9" s="64" t="s">
        <v>121</v>
      </c>
      <c r="C9" s="65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5" t="n">
        <f aca="false">C9</f>
        <v>1460000</v>
      </c>
      <c r="F9" s="65"/>
      <c r="H9" s="91" t="n">
        <f aca="false">E9/$E$23</f>
        <v>0.0716886497316311</v>
      </c>
      <c r="J9" s="88"/>
      <c r="K9" s="27"/>
      <c r="L9" s="27"/>
      <c r="M9" s="89"/>
      <c r="N9" s="65" t="n">
        <f aca="false">+F9/$F$29*$N$29</f>
        <v>0</v>
      </c>
    </row>
    <row r="10" customFormat="false" ht="12.75" hidden="false" customHeight="false" outlineLevel="0" collapsed="false">
      <c r="A10" s="63"/>
      <c r="B10" s="64" t="s">
        <v>192</v>
      </c>
      <c r="C10" s="65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5" t="n">
        <f aca="false">(C10/9)*12</f>
        <v>3536680</v>
      </c>
      <c r="F10" s="65" t="n">
        <f aca="false">M21+M22</f>
        <v>132000</v>
      </c>
      <c r="H10" s="91" t="n">
        <f aca="false">E10/$E$23</f>
        <v>0.173657406666346</v>
      </c>
      <c r="J10" s="88"/>
      <c r="K10" s="27"/>
      <c r="L10" s="27"/>
      <c r="M10" s="89"/>
      <c r="N10" s="65" t="n">
        <f aca="false">+F10/$F$29*$N$29</f>
        <v>22000</v>
      </c>
    </row>
    <row r="11" customFormat="false" ht="12.75" hidden="false" customHeight="false" outlineLevel="0" collapsed="false">
      <c r="A11" s="63" t="s">
        <v>123</v>
      </c>
      <c r="B11" s="64" t="s">
        <v>124</v>
      </c>
      <c r="C11" s="65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5" t="n">
        <f aca="false">(C11/9)*12</f>
        <v>2048457.94666667</v>
      </c>
      <c r="F11" s="65" t="n">
        <f aca="false">M28*0.2</f>
        <v>112800</v>
      </c>
      <c r="H11" s="91" t="n">
        <f aca="false">E11/$E$23</f>
        <v>0.100583002896276</v>
      </c>
      <c r="J11" s="88" t="s">
        <v>83</v>
      </c>
      <c r="K11" s="50" t="n">
        <f aca="false">(E12+E13+E14+E15+E16+E17+E18+E19+E20+E21+E22)/E29</f>
        <v>31676.1819007092</v>
      </c>
      <c r="L11" s="27" t="n">
        <f aca="false">L28</f>
        <v>6</v>
      </c>
      <c r="M11" s="92" t="n">
        <f aca="false">K11*L11</f>
        <v>190057.091404255</v>
      </c>
      <c r="N11" s="65" t="n">
        <f aca="false">+F11/$F$29*$N$29</f>
        <v>18800</v>
      </c>
    </row>
    <row r="12" customFormat="false" ht="12.75" hidden="false" customHeight="false" outlineLevel="0" collapsed="false">
      <c r="A12" s="63" t="s">
        <v>125</v>
      </c>
      <c r="B12" s="64" t="s">
        <v>126</v>
      </c>
      <c r="C12" s="65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7" t="n">
        <f aca="false">(C12/9)*12*1.2</f>
        <v>890331.52</v>
      </c>
      <c r="F12" s="65" t="n">
        <f aca="false">E12/$E$29*$L$11</f>
        <v>37886.4476595745</v>
      </c>
      <c r="H12" s="91" t="n">
        <f aca="false">E12/$E$23</f>
        <v>0.0437168934810347</v>
      </c>
      <c r="J12" s="88"/>
      <c r="K12" s="27"/>
      <c r="L12" s="27"/>
      <c r="M12" s="89"/>
      <c r="N12" s="65" t="n">
        <f aca="false">+F12/$F$29*$N$29</f>
        <v>6314.40794326241</v>
      </c>
    </row>
    <row r="13" customFormat="false" ht="13.5" hidden="false" customHeight="false" outlineLevel="0" collapsed="false">
      <c r="A13" s="63" t="s">
        <v>127</v>
      </c>
      <c r="B13" s="64" t="s">
        <v>128</v>
      </c>
      <c r="C13" s="65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7" t="n">
        <f aca="false">(C13/9)*12*1.2</f>
        <v>1622984.656</v>
      </c>
      <c r="F13" s="65" t="n">
        <f aca="false">E13/$E$29*$L$11</f>
        <v>69063.1768510638</v>
      </c>
      <c r="H13" s="91" t="n">
        <f aca="false">E13/$E$23</f>
        <v>0.0796914921395861</v>
      </c>
      <c r="J13" s="93" t="s">
        <v>129</v>
      </c>
      <c r="K13" s="94"/>
      <c r="L13" s="94"/>
      <c r="M13" s="95" t="n">
        <f aca="false">M8+M11</f>
        <v>866857.091404255</v>
      </c>
      <c r="N13" s="65" t="n">
        <f aca="false">+F13/$F$29*$N$29</f>
        <v>11510.5294751773</v>
      </c>
    </row>
    <row r="14" customFormat="false" ht="12.75" hidden="false" customHeight="false" outlineLevel="0" collapsed="false">
      <c r="A14" s="63" t="s">
        <v>130</v>
      </c>
      <c r="B14" s="64" t="s">
        <v>131</v>
      </c>
      <c r="C14" s="65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7" t="n">
        <f aca="false">(C14/9)*12*1.2</f>
        <v>0.608000000193715</v>
      </c>
      <c r="F14" s="65" t="n">
        <f aca="false">E14/$E$29*$L$11</f>
        <v>0.0258723404337751</v>
      </c>
      <c r="H14" s="91" t="n">
        <f aca="false">E14/$E$23</f>
        <v>2.98539034593965E-008</v>
      </c>
      <c r="N14" s="65" t="n">
        <f aca="false">+F14/$F$29*$N$29</f>
        <v>0.00431205673896252</v>
      </c>
    </row>
    <row r="15" customFormat="false" ht="12.75" hidden="false" customHeight="false" outlineLevel="0" collapsed="false">
      <c r="A15" s="63" t="s">
        <v>132</v>
      </c>
      <c r="B15" s="64" t="s">
        <v>133</v>
      </c>
      <c r="C15" s="65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7" t="n">
        <f aca="false">(C15/9)*12*1.2</f>
        <v>149163.408</v>
      </c>
      <c r="F15" s="65" t="n">
        <f aca="false">E15/$E$29*$L$11</f>
        <v>6347.37906382979</v>
      </c>
      <c r="H15" s="91" t="n">
        <f aca="false">E15/$E$23</f>
        <v>0.00732419404718382</v>
      </c>
      <c r="K15" s="50"/>
      <c r="N15" s="65" t="n">
        <f aca="false">+F15/$F$29*$N$29</f>
        <v>1057.8965106383</v>
      </c>
    </row>
    <row r="16" customFormat="false" ht="12.75" hidden="false" customHeight="false" outlineLevel="0" collapsed="false">
      <c r="A16" s="63" t="s">
        <v>134</v>
      </c>
      <c r="B16" s="64" t="s">
        <v>135</v>
      </c>
      <c r="C16" s="65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7" t="n">
        <f aca="false">(C16/9)*12*1.2</f>
        <v>0</v>
      </c>
      <c r="F16" s="65" t="n">
        <f aca="false">E16/$E$29*$L$11</f>
        <v>0</v>
      </c>
      <c r="H16" s="91" t="n">
        <f aca="false">E16/$E$23</f>
        <v>0</v>
      </c>
      <c r="J16" s="0" t="s">
        <v>193</v>
      </c>
      <c r="K16" s="50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50" t="n">
        <f aca="false">K16*L16</f>
        <v>0</v>
      </c>
      <c r="N16" s="65" t="n">
        <f aca="false">+F16/$F$29*$N$29</f>
        <v>0</v>
      </c>
    </row>
    <row r="17" customFormat="false" ht="12.75" hidden="false" customHeight="false" outlineLevel="0" collapsed="false">
      <c r="A17" s="63" t="s">
        <v>137</v>
      </c>
      <c r="B17" s="64" t="s">
        <v>138</v>
      </c>
      <c r="C17" s="65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7" t="n">
        <f aca="false">(C17/9)*12*1.2</f>
        <v>8480</v>
      </c>
      <c r="F17" s="65" t="n">
        <f aca="false">E17/$E$29*$L$11</f>
        <v>360.851063829787</v>
      </c>
      <c r="H17" s="91" t="n">
        <f aca="false">E17/$E$23</f>
        <v>0.000416383390222076</v>
      </c>
      <c r="J17" s="0" t="s">
        <v>139</v>
      </c>
      <c r="K17" s="50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50" t="n">
        <f aca="false">K17*L17</f>
        <v>0</v>
      </c>
      <c r="N17" s="65" t="n">
        <f aca="false">+F17/$F$29*$N$29</f>
        <v>60.1418439716312</v>
      </c>
    </row>
    <row r="18" customFormat="false" ht="12.75" hidden="false" customHeight="false" outlineLevel="0" collapsed="false">
      <c r="A18" s="63" t="s">
        <v>140</v>
      </c>
      <c r="B18" s="64" t="s">
        <v>141</v>
      </c>
      <c r="C18" s="65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7" t="n">
        <f aca="false">(C18/9)*12*1.2</f>
        <v>459.663999999995</v>
      </c>
      <c r="F18" s="65" t="n">
        <f aca="false">E18/$E$29*$L$11</f>
        <v>19.5601702127657</v>
      </c>
      <c r="H18" s="91" t="n">
        <f aca="false">E18/$E$23</f>
        <v>2.25703366371507E-005</v>
      </c>
      <c r="J18" s="0" t="s">
        <v>142</v>
      </c>
      <c r="K18" s="50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50" t="n">
        <f aca="false">K18*L18</f>
        <v>0</v>
      </c>
      <c r="N18" s="65" t="n">
        <f aca="false">+F18/$F$29*$N$29</f>
        <v>3.26002836879429</v>
      </c>
    </row>
    <row r="19" customFormat="false" ht="12.75" hidden="false" customHeight="false" outlineLevel="0" collapsed="false">
      <c r="A19" s="63" t="s">
        <v>143</v>
      </c>
      <c r="B19" s="64" t="s">
        <v>144</v>
      </c>
      <c r="C19" s="65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7" t="n">
        <f aca="false">(C19/9)*12*1.2</f>
        <v>779438.72</v>
      </c>
      <c r="F19" s="65" t="n">
        <f aca="false">E19/$E$29*$L$11</f>
        <v>33167.605106383</v>
      </c>
      <c r="H19" s="91" t="n">
        <f aca="false">E19/$E$23</f>
        <v>0.038271855743391</v>
      </c>
      <c r="J19" s="0" t="s">
        <v>145</v>
      </c>
      <c r="K19" s="50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50" t="n">
        <f aca="false">K19*L19</f>
        <v>0</v>
      </c>
      <c r="N19" s="65" t="n">
        <f aca="false">+F19/$F$29*$N$29</f>
        <v>5527.93418439716</v>
      </c>
    </row>
    <row r="20" customFormat="false" ht="12.75" hidden="false" customHeight="false" outlineLevel="0" collapsed="false">
      <c r="A20" s="63" t="s">
        <v>146</v>
      </c>
      <c r="B20" s="64" t="s">
        <v>147</v>
      </c>
      <c r="C20" s="65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7" t="n">
        <f aca="false">(C20/9)*12*1.2</f>
        <v>125.088</v>
      </c>
      <c r="F20" s="65" t="n">
        <f aca="false">E20/$E$29*$L$11</f>
        <v>5.32289361702128</v>
      </c>
      <c r="H20" s="91" t="n">
        <f aca="false">E20/$E$23</f>
        <v>6.1420478202947E-006</v>
      </c>
      <c r="J20" s="0" t="s">
        <v>148</v>
      </c>
      <c r="K20" s="50" t="n">
        <v>78000</v>
      </c>
      <c r="L20" s="0" t="n">
        <f aca="false">3-1</f>
        <v>2</v>
      </c>
      <c r="M20" s="50" t="n">
        <f aca="false">K20*L20</f>
        <v>156000</v>
      </c>
      <c r="N20" s="65" t="n">
        <f aca="false">+F20/$F$29*$N$29</f>
        <v>0.887148936170213</v>
      </c>
    </row>
    <row r="21" customFormat="false" ht="12.75" hidden="false" customHeight="false" outlineLevel="0" collapsed="false">
      <c r="A21" s="63" t="s">
        <v>149</v>
      </c>
      <c r="B21" s="64" t="s">
        <v>150</v>
      </c>
      <c r="C21" s="65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7" t="n">
        <f aca="false">(C21/9)*12*1.2</f>
        <v>1013453.6</v>
      </c>
      <c r="F21" s="65" t="n">
        <f aca="false">E21/$E$29*$L$11</f>
        <v>43125.685106383</v>
      </c>
      <c r="H21" s="91" t="n">
        <f aca="false">E21/$E$23</f>
        <v>0.0497624110614113</v>
      </c>
      <c r="J21" s="0" t="s">
        <v>151</v>
      </c>
      <c r="K21" s="50" t="n">
        <v>66000</v>
      </c>
      <c r="L21" s="0" t="n">
        <f aca="false">3-1</f>
        <v>2</v>
      </c>
      <c r="M21" s="50" t="n">
        <f aca="false">K21*L21</f>
        <v>132000</v>
      </c>
      <c r="N21" s="65" t="n">
        <f aca="false">+F21/$F$29*$N$29</f>
        <v>7187.61418439716</v>
      </c>
    </row>
    <row r="22" customFormat="false" ht="12.75" hidden="false" customHeight="false" outlineLevel="0" collapsed="false">
      <c r="A22" s="63" t="s">
        <v>152</v>
      </c>
      <c r="B22" s="64" t="s">
        <v>153</v>
      </c>
      <c r="C22" s="65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7" t="n">
        <f aca="false">(C22/9)*12*1.2</f>
        <v>1904.384</v>
      </c>
      <c r="F22" s="65" t="n">
        <f aca="false">E22/$E$29*$L$11</f>
        <v>81.0376170212766</v>
      </c>
      <c r="H22" s="91" t="n">
        <f aca="false">E22/$E$23</f>
        <v>9.35087106373442E-005</v>
      </c>
      <c r="J22" s="0" t="s">
        <v>154</v>
      </c>
      <c r="K22" s="50" t="n">
        <v>97200</v>
      </c>
      <c r="L22" s="0" t="n">
        <f aca="false">3-3</f>
        <v>0</v>
      </c>
      <c r="M22" s="50" t="n">
        <f aca="false">K22*L22</f>
        <v>0</v>
      </c>
      <c r="N22" s="65" t="n">
        <f aca="false">+F22/$F$29*$N$29</f>
        <v>13.5062695035461</v>
      </c>
    </row>
    <row r="23" customFormat="false" ht="13.5" hidden="false" customHeight="false" outlineLevel="0" collapsed="false">
      <c r="A23" s="72" t="s">
        <v>155</v>
      </c>
      <c r="B23" s="73" t="s">
        <v>156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866857.091404255</v>
      </c>
      <c r="H23" s="97" t="n">
        <f aca="false">SUM(H8:H22)</f>
        <v>1</v>
      </c>
      <c r="J23" s="0" t="s">
        <v>157</v>
      </c>
      <c r="K23" s="50" t="n">
        <v>120000</v>
      </c>
      <c r="L23" s="0" t="n">
        <f aca="false">3-2</f>
        <v>1</v>
      </c>
      <c r="M23" s="50" t="n">
        <f aca="false">K23*L23</f>
        <v>120000</v>
      </c>
      <c r="N23" s="96" t="n">
        <f aca="false">SUM(N8:N22)</f>
        <v>144476.181900709</v>
      </c>
    </row>
    <row r="24" customFormat="false" ht="12.75" hidden="false" customHeight="false" outlineLevel="0" collapsed="false">
      <c r="J24" s="0" t="s">
        <v>158</v>
      </c>
      <c r="K24" s="50" t="n">
        <v>156000</v>
      </c>
      <c r="L24" s="0" t="n">
        <v>1</v>
      </c>
      <c r="M24" s="50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5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159</v>
      </c>
      <c r="K25" s="50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50" t="n">
        <f aca="false">K25*L25</f>
        <v>0</v>
      </c>
      <c r="N25" s="77" t="n">
        <v>1</v>
      </c>
    </row>
    <row r="26" customFormat="false" ht="12.75" hidden="false" customHeight="false" outlineLevel="0" collapsed="false">
      <c r="C26" s="65"/>
      <c r="E26" s="65"/>
      <c r="F26" s="65"/>
      <c r="J26" s="0" t="s">
        <v>160</v>
      </c>
      <c r="K26" s="50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50" t="n">
        <f aca="false">K26*L26</f>
        <v>0</v>
      </c>
      <c r="N26" s="65"/>
    </row>
    <row r="27" customFormat="false" ht="12.75" hidden="false" customHeight="false" outlineLevel="0" collapsed="false">
      <c r="B27" s="73" t="s">
        <v>194</v>
      </c>
      <c r="C27" s="65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2</v>
      </c>
      <c r="J27" s="0" t="s">
        <v>162</v>
      </c>
      <c r="K27" s="50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50" t="n">
        <f aca="false">K27*L27</f>
        <v>0</v>
      </c>
      <c r="N27" s="77" t="n">
        <f aca="false">SUM(T21:T22)</f>
        <v>0</v>
      </c>
    </row>
    <row r="28" customFormat="false" ht="12.75" hidden="false" customHeight="false" outlineLevel="0" collapsed="false">
      <c r="B28" s="73"/>
      <c r="L28" s="0" t="n">
        <f aca="false">SUM(L16:L27)</f>
        <v>6</v>
      </c>
      <c r="M28" s="50" t="n">
        <f aca="false">SUM(M16:M27)</f>
        <v>564000</v>
      </c>
    </row>
    <row r="29" customFormat="false" ht="12.75" hidden="false" customHeight="false" outlineLevel="0" collapsed="false">
      <c r="B29" s="73" t="s">
        <v>163</v>
      </c>
      <c r="E29" s="98" t="n">
        <f aca="false">SUM(E25:E27)</f>
        <v>141</v>
      </c>
      <c r="F29" s="98" t="n">
        <f aca="false">SUM(F25:F27)</f>
        <v>6</v>
      </c>
      <c r="H29" s="50"/>
      <c r="N29" s="98" t="n">
        <f aca="false">SUM(N25:N27)</f>
        <v>1</v>
      </c>
    </row>
    <row r="31" customFormat="false" ht="12.75" hidden="false" customHeight="false" outlineLevel="0" collapsed="false">
      <c r="I31" s="17" t="s">
        <v>164</v>
      </c>
      <c r="J31" s="50"/>
      <c r="K31" s="50"/>
      <c r="L31" s="50"/>
    </row>
    <row r="32" customFormat="false" ht="12.75" hidden="true" customHeight="false" outlineLevel="0" collapsed="false">
      <c r="B32" s="64" t="s">
        <v>131</v>
      </c>
      <c r="C32" s="65" t="n">
        <v>524067</v>
      </c>
      <c r="J32" s="50"/>
      <c r="K32" s="50"/>
      <c r="L32" s="50"/>
    </row>
    <row r="33" customFormat="false" ht="12.75" hidden="false" customHeight="false" outlineLevel="0" collapsed="false">
      <c r="I33" s="79" t="s">
        <v>165</v>
      </c>
      <c r="J33" s="80" t="s">
        <v>166</v>
      </c>
      <c r="K33" s="80" t="s">
        <v>167</v>
      </c>
      <c r="L33" s="80" t="s">
        <v>110</v>
      </c>
      <c r="M33" s="80" t="s">
        <v>168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6</v>
      </c>
      <c r="M34" s="80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dvandor</cp:lastModifiedBy>
  <cp:lastPrinted>2002-01-09T20:01:35Z</cp:lastPrinted>
  <dcterms:modified xsi:type="dcterms:W3CDTF">2002-01-09T20:17:21Z</dcterms:modified>
  <cp:revision>0</cp:revision>
  <dc:subject/>
  <dc:title/>
</cp:coreProperties>
</file>