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52.xml" ContentType="application/vnd.openxmlformats-officedocument.spreadsheetml.comments+xml"/>
  <Override PartName="/xl/comments79.xml" ContentType="application/vnd.openxmlformats-officedocument.spreadsheetml.comments+xml"/>
  <Override PartName="/xl/comments81.xml" ContentType="application/vnd.openxmlformats-officedocument.spreadsheetml.comments+xml"/>
  <Override PartName="/xl/sharedStrings.xml" ContentType="application/vnd.openxmlformats-officedocument.spreadsheetml.sharedStrings+xml"/>
  <Override PartName="/xl/comments65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4.xml" ContentType="application/vnd.openxmlformats-officedocument.spreadsheetml.externalLink+xml"/>
  <Override PartName="/xl/worksheets/_rels/sheet79.xml.rels" ContentType="application/vnd.openxmlformats-package.relationships+xml"/>
  <Override PartName="/xl/worksheets/_rels/sheet66.xml.rels" ContentType="application/vnd.openxmlformats-package.relationships+xml"/>
  <Override PartName="/xl/worksheets/_rels/sheet65.xml.rels" ContentType="application/vnd.openxmlformats-package.relationships+xml"/>
  <Override PartName="/xl/worksheets/_rels/sheet81.xml.rels" ContentType="application/vnd.openxmlformats-package.relationships+xml"/>
  <Override PartName="/xl/worksheets/_rels/sheet80.xml.rels" ContentType="application/vnd.openxmlformats-package.relationships+xml"/>
  <Override PartName="/xl/worksheets/_rels/sheet52.xml.rels" ContentType="application/vnd.openxmlformats-package.relationship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8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47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60.xml" ContentType="application/vnd.openxmlformats-officedocument.spreadsheetml.worksheet+xml"/>
  <Override PartName="/xl/worksheets/sheet1.xml" ContentType="application/vnd.openxmlformats-officedocument.spreadsheetml.worksheet+xml"/>
  <Override PartName="/xl/worksheets/sheet61.xml" ContentType="application/vnd.openxmlformats-officedocument.spreadsheetml.worksheet+xml"/>
  <Override PartName="/xl/worksheets/sheet2.xml" ContentType="application/vnd.openxmlformats-officedocument.spreadsheetml.worksheet+xml"/>
  <Override PartName="/xl/worksheets/sheet62.xml" ContentType="application/vnd.openxmlformats-officedocument.spreadsheetml.worksheet+xml"/>
  <Override PartName="/xl/worksheets/sheet3.xml" ContentType="application/vnd.openxmlformats-officedocument.spreadsheetml.worksheet+xml"/>
  <Override PartName="/xl/worksheets/sheet26.xml" ContentType="application/vnd.openxmlformats-officedocument.spreadsheetml.worksheet+xml"/>
  <Override PartName="/xl/worksheets/sheet63.xml" ContentType="application/vnd.openxmlformats-officedocument.spreadsheetml.worksheet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64.xml" ContentType="application/vnd.openxmlformats-officedocument.spreadsheetml.worksheet+xml"/>
  <Override PartName="/xl/worksheets/sheet28.xml" ContentType="application/vnd.openxmlformats-officedocument.spreadsheetml.worksheet+xml"/>
  <Override PartName="/xl/worksheets/sheet70.xml" ContentType="application/vnd.openxmlformats-officedocument.spreadsheetml.worksheet+xml"/>
  <Override PartName="/xl/worksheets/sheet65.xml" ContentType="application/vnd.openxmlformats-officedocument.spreadsheetml.worksheet+xml"/>
  <Override PartName="/xl/worksheets/sheet29.xml" ContentType="application/vnd.openxmlformats-officedocument.spreadsheetml.worksheet+xml"/>
  <Override PartName="/xl/worksheets/sheet71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30.xml" ContentType="application/vnd.openxmlformats-officedocument.spreadsheetml.worksheet+xml"/>
  <Override PartName="/xl/worksheets/sheet68.xml" ContentType="application/vnd.openxmlformats-officedocument.spreadsheetml.worksheet+xml"/>
  <Override PartName="/xl/worksheets/sheet31.xml" ContentType="application/vnd.openxmlformats-officedocument.spreadsheetml.worksheet+xml"/>
  <Override PartName="/xl/worksheets/sheet69.xml" ContentType="application/vnd.openxmlformats-officedocument.spreadsheetml.worksheet+xml"/>
  <Override PartName="/xl/worksheets/sheet8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76.xml" ContentType="application/vnd.openxmlformats-officedocument.spreadsheetml.worksheet+xml"/>
  <Override PartName="/xl/worksheets/sheet8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74.xml" ContentType="application/vnd.openxmlformats-officedocument.spreadsheetml.worksheet+xml"/>
  <Override PartName="/xl/worksheets/sheet8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2.xml" ContentType="application/vnd.openxmlformats-officedocument.spreadsheetml.worksheet+xml"/>
  <Override PartName="/xl/worksheets/sheet25.xml" ContentType="application/vnd.openxmlformats-officedocument.spreadsheetml.worksheet+xml"/>
  <Override PartName="/xl/worksheets/sheet59.xml" ContentType="application/vnd.openxmlformats-officedocument.spreadsheetml.worksheet+xml"/>
  <Override PartName="/xl/worksheets/sheet7.xml" ContentType="application/vnd.openxmlformats-officedocument.spreadsheetml.worksheet+xml"/>
  <Override PartName="/xl/worksheets/sheet22.xml" ContentType="application/vnd.openxmlformats-officedocument.spreadsheetml.worksheet+xml"/>
  <Override PartName="/xl/worksheets/sheet58.xml" ContentType="application/vnd.openxmlformats-officedocument.spreadsheetml.worksheet+xml"/>
  <Override PartName="/xl/worksheets/sheet19.xml" ContentType="application/vnd.openxmlformats-officedocument.spreadsheetml.worksheet+xml"/>
  <Override PartName="/xl/worksheets/sheet84.xml" ContentType="application/vnd.openxmlformats-officedocument.spreadsheetml.worksheet+xml"/>
  <Override PartName="/xl/worksheets/sheet57.xml" ContentType="application/vnd.openxmlformats-officedocument.spreadsheetml.worksheet+xml"/>
  <Override PartName="/xl/worksheets/sheet18.xml" ContentType="application/vnd.openxmlformats-officedocument.spreadsheetml.worksheet+xml"/>
  <Override PartName="/xl/worksheets/sheet83.xml" ContentType="application/vnd.openxmlformats-officedocument.spreadsheetml.worksheet+xml"/>
  <Override PartName="/xl/worksheets/sheet82.xml" ContentType="application/vnd.openxmlformats-officedocument.spreadsheetml.worksheet+xml"/>
  <Override PartName="/xl/worksheets/sheet17.xml" ContentType="application/vnd.openxmlformats-officedocument.spreadsheetml.worksheet+xml"/>
  <Override PartName="/xl/worksheets/sheet81.xml" ContentType="application/vnd.openxmlformats-officedocument.spreadsheetml.worksheet+xml"/>
  <Override PartName="/xl/worksheets/sheet16.xml" ContentType="application/vnd.openxmlformats-officedocument.spreadsheetml.worksheet+xml"/>
  <Override PartName="/xl/worksheets/sheet8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24.xml" ContentType="application/vnd.openxmlformats-officedocument.spreadsheetml.worksheet+xml"/>
  <Override PartName="/xl/comments80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66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Texas-Trading w-o AA" sheetId="3" state="visible" r:id="rId5"/>
    <sheet name="East-Trading w-o AA" sheetId="4" state="visible" r:id="rId6"/>
    <sheet name="Central-Trading w-o AA" sheetId="5" state="visible" r:id="rId7"/>
    <sheet name="West-Trading w-o AA" sheetId="6" state="visible" r:id="rId8"/>
    <sheet name="Financial w-o AA" sheetId="7" state="visible" r:id="rId9"/>
    <sheet name="Texas - Orig" sheetId="8" state="visible" r:id="rId10"/>
    <sheet name="East - Orig" sheetId="9" state="visible" r:id="rId11"/>
    <sheet name="Central Gas - Orig" sheetId="10" state="visible" r:id="rId12"/>
    <sheet name="West - Orig" sheetId="11" state="visible" r:id="rId13"/>
    <sheet name="Derivatives w-o  AA-Mex" sheetId="12" state="visible" r:id="rId14"/>
    <sheet name="Derivatives w-o  AA" sheetId="13" state="hidden" r:id="rId15"/>
    <sheet name="Mexico" sheetId="14" state="hidden" r:id="rId16"/>
    <sheet name="East-Trading AA" sheetId="15" state="hidden" r:id="rId17"/>
    <sheet name="West-Trading AA" sheetId="16" state="hidden" r:id="rId18"/>
    <sheet name="Texas-Trading AA" sheetId="17" state="hidden" r:id="rId19"/>
    <sheet name="Financial - AA" sheetId="18" state="hidden" r:id="rId20"/>
    <sheet name="Derivatives AA" sheetId="19" state="hidden" r:id="rId21"/>
    <sheet name="Central - Trading AA" sheetId="20" state="hidden" r:id="rId22"/>
    <sheet name="Financial Gas" sheetId="21" state="hidden" r:id="rId23"/>
    <sheet name="East Power" sheetId="22" state="hidden" r:id="rId24"/>
    <sheet name="Crude w-o AA" sheetId="23" state="visible" r:id="rId25"/>
    <sheet name="Management" sheetId="24" state="visible" r:id="rId26"/>
    <sheet name="Ercot" sheetId="25" state="visible" r:id="rId27"/>
    <sheet name="Northeast" sheetId="26" state="visible" r:id="rId28"/>
    <sheet name="Midwest" sheetId="27" state="visible" r:id="rId29"/>
    <sheet name="Southeast" sheetId="28" state="visible" r:id="rId30"/>
    <sheet name="Options" sheetId="29" state="visible" r:id="rId31"/>
    <sheet name="East Power Origination" sheetId="30" state="visible" r:id="rId32"/>
    <sheet name="West Power Trading" sheetId="31" state="visible" r:id="rId33"/>
    <sheet name="West Power Origination" sheetId="32" state="visible" r:id="rId34"/>
    <sheet name="Canada Trading" sheetId="33" state="visible" r:id="rId35"/>
    <sheet name="Canada Origination" sheetId="34" state="visible" r:id="rId36"/>
    <sheet name="Office of the Chair" sheetId="35" state="hidden" r:id="rId37"/>
    <sheet name="OOC w-o Adm" sheetId="36" state="visible" r:id="rId38"/>
    <sheet name="East Power A&amp;A" sheetId="37" state="visible" r:id="rId39"/>
    <sheet name="Gas A&amp;A" sheetId="38" state="visible" r:id="rId40"/>
    <sheet name="Crude AA" sheetId="39" state="hidden" r:id="rId41"/>
    <sheet name="West Power A&amp;A" sheetId="40" state="visible" r:id="rId42"/>
    <sheet name="Canada A&amp;A" sheetId="41" state="visible" r:id="rId43"/>
    <sheet name="OOC Admin" sheetId="42" state="visible" r:id="rId44"/>
    <sheet name="Natural Gas Admin" sheetId="43" state="visible" r:id="rId45"/>
    <sheet name="East Power Admins" sheetId="44" state="visible" r:id="rId46"/>
    <sheet name="West Power Admins" sheetId="45" state="visible" r:id="rId47"/>
    <sheet name="Canada" sheetId="46" state="hidden" r:id="rId48"/>
    <sheet name="Canada Admins" sheetId="47" state="hidden" r:id="rId49"/>
    <sheet name="Reg Affairs" sheetId="48" state="visible" r:id="rId50"/>
    <sheet name="Fundies-All" sheetId="49" state="visible" r:id="rId51"/>
    <sheet name="Struct" sheetId="50" state="visible" r:id="rId52"/>
    <sheet name="Weather" sheetId="51" state="visible" r:id="rId53"/>
    <sheet name="SAP" sheetId="52" state="hidden" r:id="rId54"/>
    <sheet name="EOPs" sheetId="53" state="hidden" r:id="rId55"/>
    <sheet name="Gas Risk" sheetId="54" state="visible" r:id="rId56"/>
    <sheet name="Gas Vol Mgmt" sheetId="55" state="visible" r:id="rId57"/>
    <sheet name="Gas Logistics" sheetId="56" state="visible" r:id="rId58"/>
    <sheet name="Gas Settlemnt" sheetId="57" state="visible" r:id="rId59"/>
    <sheet name="Pwr Risk" sheetId="58" state="visible" r:id="rId60"/>
    <sheet name="Pwr Vol Mgmt" sheetId="59" state="visible" r:id="rId61"/>
    <sheet name="Power Logistics (2)" sheetId="60" state="hidden" r:id="rId62"/>
    <sheet name="Power Logistics" sheetId="61" state="visible" r:id="rId63"/>
    <sheet name="Pwr Settlemt" sheetId="62" state="visible" r:id="rId64"/>
    <sheet name="Documentation" sheetId="63" state="visible" r:id="rId65"/>
    <sheet name="Managemt" sheetId="64" state="visible" r:id="rId66"/>
    <sheet name="IT Dev-EOL" sheetId="65" state="visible" r:id="rId67"/>
    <sheet name="IT Infra" sheetId="66" state="visible" r:id="rId68"/>
    <sheet name="EOL Support" sheetId="67" state="visible" r:id="rId69"/>
    <sheet name="Canada Support" sheetId="68" state="visible" r:id="rId70"/>
    <sheet name="Credit" sheetId="69" state="visible" r:id="rId71"/>
    <sheet name="Research" sheetId="70" state="hidden" r:id="rId72"/>
    <sheet name="Mkt Risk - Combined" sheetId="71" state="hidden" r:id="rId73"/>
    <sheet name="Mkt Risk " sheetId="72" state="visible" r:id="rId74"/>
    <sheet name="Research1" sheetId="73" state="visible" r:id="rId75"/>
    <sheet name="Fin Ops" sheetId="74" state="visible" r:id="rId76"/>
    <sheet name="Cash Ops" sheetId="75" state="visible" r:id="rId77"/>
    <sheet name="Tax" sheetId="76" state="visible" r:id="rId78"/>
    <sheet name="HR" sheetId="77" state="visible" r:id="rId79"/>
    <sheet name="Legal" sheetId="78" state="visible" r:id="rId80"/>
    <sheet name="IT Dev" sheetId="79" state="hidden" r:id="rId81"/>
    <sheet name="IT EOL" sheetId="80" state="hidden" r:id="rId82"/>
    <sheet name="IT All" sheetId="81" state="hidden" r:id="rId83"/>
    <sheet name="Fundies-Hou" sheetId="82" state="hidden" r:id="rId84"/>
    <sheet name="Competitive Ana" sheetId="83" state="hidden" r:id="rId85"/>
    <sheet name="Gas - Fund" sheetId="84" state="hidden" r:id="rId86"/>
    <sheet name="East - Fund" sheetId="85" state="hidden" r:id="rId87"/>
    <sheet name="West - Fund" sheetId="86" state="hidden" r:id="rId88"/>
    <sheet name="West - Struct" sheetId="87" state="hidden" r:id="rId89"/>
    <sheet name="Gas - Struct" sheetId="88" state="hidden" r:id="rId90"/>
    <sheet name="East - Struct" sheetId="89" state="hidden" r:id="rId91"/>
  </sheets>
  <externalReferences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function="false" hidden="false" localSheetId="45" name="_xlnm.Print_Area" vbProcedure="false">Canada!$B$1:$L$39</definedName>
    <definedName function="false" hidden="false" localSheetId="40" name="_xlnm.Print_Area" vbProcedure="false">'Canada A&amp;A'!$B$1:$L$39</definedName>
    <definedName function="false" hidden="false" localSheetId="46" name="_xlnm.Print_Area" vbProcedure="false">'Canada Admins'!$B$1:$L$39</definedName>
    <definedName function="false" hidden="false" localSheetId="33" name="_xlnm.Print_Area" vbProcedure="false">'Canada Origination'!$B$1:$L$39</definedName>
    <definedName function="false" hidden="false" localSheetId="67" name="_xlnm.Print_Area" vbProcedure="false">'Canada Support'!$A$1:$N$51</definedName>
    <definedName function="false" hidden="false" localSheetId="32" name="_xlnm.Print_Area" vbProcedure="false">'Canada Trading'!$B$1:$L$39</definedName>
    <definedName function="false" hidden="false" localSheetId="74" name="_xlnm.Print_Area" vbProcedure="false">'Cash Ops'!$B$1:$H$29</definedName>
    <definedName function="false" hidden="false" localSheetId="19" name="_xlnm.Print_Area" vbProcedure="false">'Central - Trading AA'!$B$1:$L$34</definedName>
    <definedName function="false" hidden="false" localSheetId="9" name="_xlnm.Print_Area" vbProcedure="false">'Central Gas - Orig'!$B$1:$L$34</definedName>
    <definedName function="false" hidden="false" localSheetId="4" name="_xlnm.Print_Area" vbProcedure="false">'Central-Trading w-o AA'!$B$1:$L$34</definedName>
    <definedName function="false" hidden="false" localSheetId="82" name="_xlnm.Print_Area" vbProcedure="false">'Competitive Ana'!$B$1:$L$43</definedName>
    <definedName function="false" hidden="false" localSheetId="68" name="_xlnm.Print_Area" vbProcedure="false">Credit!$A$1:$M$40</definedName>
    <definedName function="false" hidden="false" localSheetId="38" name="_xlnm.Print_Area" vbProcedure="false">'Crude AA'!$B$1:$L$34</definedName>
    <definedName function="false" hidden="false" localSheetId="22" name="_xlnm.Print_Area" vbProcedure="false">'Crude w-o AA'!$B$1:$L$34</definedName>
    <definedName function="false" hidden="false" localSheetId="18" name="_xlnm.Print_Area" vbProcedure="false">'Derivatives AA'!$B$1:$L$40</definedName>
    <definedName function="false" hidden="false" localSheetId="12" name="_xlnm.Print_Area" vbProcedure="false">'Derivatives w-o  AA'!$B$1:$L$40</definedName>
    <definedName function="false" hidden="false" localSheetId="11" name="_xlnm.Print_Area" vbProcedure="false">'Derivatives w-o  AA-Mex'!$B$1:$L$40</definedName>
    <definedName function="false" hidden="false" localSheetId="84" name="_xlnm.Print_Area" vbProcedure="false">'East - Fund'!$B$1:$H$29</definedName>
    <definedName function="false" hidden="false" localSheetId="8" name="_xlnm.Print_Area" vbProcedure="false">'East - Orig'!$B$1:$L$34</definedName>
    <definedName function="false" hidden="false" localSheetId="88" name="_xlnm.Print_Area" vbProcedure="false">'East - Struct'!$B$1:$H$29</definedName>
    <definedName function="false" hidden="false" localSheetId="21" name="_xlnm.Print_Area" vbProcedure="false">'East Power'!$B$1:$H$29</definedName>
    <definedName function="false" hidden="false" localSheetId="36" name="_xlnm.Print_Area" vbProcedure="false">'East Power A&amp;A'!$B$1:$H$29</definedName>
    <definedName function="false" hidden="false" localSheetId="43" name="_xlnm.Print_Area" vbProcedure="false">'East Power Admins'!$B$1:$H$29</definedName>
    <definedName function="false" hidden="false" localSheetId="29" name="_xlnm.Print_Area" vbProcedure="false">'East Power Origination'!$B$1:$H$29</definedName>
    <definedName function="false" hidden="false" localSheetId="14" name="_xlnm.Print_Area" vbProcedure="false">'East-Trading AA'!$B$1:$L$34</definedName>
    <definedName function="false" hidden="false" localSheetId="3" name="_xlnm.Print_Area" vbProcedure="false">'East-Trading w-o AA'!$B$1:$L$34</definedName>
    <definedName function="false" hidden="false" localSheetId="66" name="_xlnm.Print_Area" vbProcedure="false">'EOL Support'!$A$1:$P$39</definedName>
    <definedName function="false" hidden="false" localSheetId="52" name="_xlnm.Print_Area" vbProcedure="false">EOPs!$A$1:$M$39</definedName>
    <definedName function="false" hidden="false" localSheetId="73" name="_xlnm.Print_Area" vbProcedure="false">'Fin Ops'!$B$1:$H$29</definedName>
    <definedName function="false" hidden="false" localSheetId="17" name="_xlnm.Print_Area" vbProcedure="false">'Financial - AA'!$B$1:$P$34</definedName>
    <definedName function="false" hidden="false" localSheetId="20" name="_xlnm.Print_Area" vbProcedure="false">'Financial Gas'!$B$1:$P$34</definedName>
    <definedName function="false" hidden="false" localSheetId="6" name="_xlnm.Print_Area" vbProcedure="false">'Financial w-o AA'!$B$1:$P$34</definedName>
    <definedName function="false" hidden="false" localSheetId="48" name="_xlnm.Print_Area" vbProcedure="false">'Fundies-All'!$B$1:$L$34</definedName>
    <definedName function="false" hidden="false" localSheetId="81" name="_xlnm.Print_Area" vbProcedure="false">'Fundies-Hou'!$B$1:$L$34</definedName>
    <definedName function="false" hidden="false" localSheetId="83" name="_xlnm.Print_Area" vbProcedure="false">'Gas - Fund'!$B$1:$L$34</definedName>
    <definedName function="false" hidden="false" localSheetId="87" name="_xlnm.Print_Area" vbProcedure="false">'Gas - Struct'!$B$1:$L$34</definedName>
    <definedName function="false" hidden="false" localSheetId="37" name="_xlnm.Print_Area" vbProcedure="false">'Gas A&amp;A'!$B$1:$L$34</definedName>
    <definedName function="false" hidden="false" localSheetId="76" name="_xlnm.Print_Area" vbProcedure="false">HR!$B$1:$L$40</definedName>
    <definedName function="false" hidden="false" localSheetId="80" name="_xlnm.Print_Area" vbProcedure="false">'IT All'!$B$1:$O$49</definedName>
    <definedName function="false" hidden="false" localSheetId="78" name="_xlnm.Print_Area" vbProcedure="false">'IT Dev'!$B$1:$O$49</definedName>
    <definedName function="false" hidden="false" localSheetId="64" name="_xlnm.Print_Area" vbProcedure="false">'IT Dev-EOL'!$B$1:$BA$49</definedName>
    <definedName function="false" hidden="false" localSheetId="79" name="_xlnm.Print_Area" vbProcedure="false">'IT EOL'!$B$1:$M$39</definedName>
    <definedName function="false" hidden="false" localSheetId="65" name="_xlnm.Print_Area" vbProcedure="false">'IT Infra'!$B$1:$BA$47</definedName>
    <definedName function="false" hidden="false" localSheetId="77" name="_xlnm.Print_Area" vbProcedure="false">Legal!$B$1:$F$29</definedName>
    <definedName function="false" hidden="false" localSheetId="13" name="_xlnm.Print_Area" vbProcedure="false">Mexico!$B$1:$L$34</definedName>
    <definedName function="false" hidden="false" localSheetId="71" name="_xlnm.Print_Area" vbProcedure="false">'Mkt Risk '!$B$1:$M$41</definedName>
    <definedName function="false" hidden="false" localSheetId="70" name="_xlnm.Print_Area" vbProcedure="false">'Mkt Risk - Combined'!$B$1:$M$41</definedName>
    <definedName function="false" hidden="false" localSheetId="42" name="_xlnm.Print_Area" vbProcedure="false">'Natural Gas Admin'!$B$1:$L$34</definedName>
    <definedName function="false" hidden="false" localSheetId="34" name="_xlnm.Print_Area" vbProcedure="false">'Office of the Chair'!$B$1:$M$40</definedName>
    <definedName function="false" hidden="false" localSheetId="41" name="_xlnm.Print_Area" vbProcedure="false">'OOC Admin'!$B$1:$M$40</definedName>
    <definedName function="false" hidden="false" localSheetId="35" name="_xlnm.Print_Area" vbProcedure="false">'OOC w-o Adm'!$B$1:$M$40</definedName>
    <definedName function="false" hidden="false" localSheetId="47" name="_xlnm.Print_Area" vbProcedure="false">'Reg Affairs'!$B$1:$L$39</definedName>
    <definedName function="false" hidden="false" localSheetId="69" name="_xlnm.Print_Area" vbProcedure="false">Research!$B$1:$M$41</definedName>
    <definedName function="false" hidden="false" localSheetId="72" name="_xlnm.Print_Area" vbProcedure="false">Research1!$B$1:$M$41</definedName>
    <definedName function="false" hidden="false" localSheetId="51" name="_xlnm.Print_Area" vbProcedure="false">SAP!$B$1:$M$40</definedName>
    <definedName function="false" hidden="false" localSheetId="49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Revised'!$A$1:$T$156</definedName>
    <definedName function="false" hidden="false" localSheetId="75" name="_xlnm.Print_Area" vbProcedure="false">Tax!$B$1:$F$29</definedName>
    <definedName function="false" hidden="false" localSheetId="7" name="_xlnm.Print_Area" vbProcedure="false">'Texas - Orig'!$B$1:$L$34</definedName>
    <definedName function="false" hidden="false" localSheetId="16" name="_xlnm.Print_Area" vbProcedure="false">'Texas-Trading AA'!$B$1:$L$34</definedName>
    <definedName function="false" hidden="false" localSheetId="2" name="_xlnm.Print_Area" vbProcedure="false">'Texas-Trading w-o AA'!$B$1:$L$34</definedName>
    <definedName function="false" hidden="false" localSheetId="50" name="_xlnm.Print_Area" vbProcedure="false">Weather!$B$1:$L$34</definedName>
    <definedName function="false" hidden="false" localSheetId="85" name="_xlnm.Print_Area" vbProcedure="false">'West - Fund'!$B$1:$O$35</definedName>
    <definedName function="false" hidden="false" localSheetId="10" name="_xlnm.Print_Area" vbProcedure="false">'West - Orig'!$B$1:$L$34</definedName>
    <definedName function="false" hidden="false" localSheetId="86" name="_xlnm.Print_Area" vbProcedure="false">'West - Struct'!$B$1:$O$35</definedName>
    <definedName function="false" hidden="false" localSheetId="39" name="_xlnm.Print_Area" vbProcedure="false">'West Power A&amp;A'!$B$1:$G$35</definedName>
    <definedName function="false" hidden="false" localSheetId="44" name="_xlnm.Print_Area" vbProcedure="false">'West Power Admins'!$B$1:$U$35</definedName>
    <definedName function="false" hidden="false" localSheetId="31" name="_xlnm.Print_Area" vbProcedure="false">'West Power Origination'!$B$1:$V$35</definedName>
    <definedName function="false" hidden="false" localSheetId="30" name="_xlnm.Print_Area" vbProcedure="false">'West Power Trading'!$B$1:$U$35</definedName>
    <definedName function="false" hidden="false" localSheetId="15" name="_xlnm.Print_Area" vbProcedure="false">'West-Trading AA'!$B$1:$L$34</definedName>
    <definedName function="false" hidden="false" localSheetId="5" name="_xlnm.Print_Area" vbProcedure="false">'West-Trading w-o AA'!$B$1:$L$34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7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2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  <definedName function="false" hidden="false" localSheetId="51" name="SAPFuncF4Help" vbProcedure="false">(#NAME?)</definedName>
    <definedName function="false" hidden="false" localSheetId="52" name="SAPFuncF4Help" vbProcedure="false">(#NAME?)</definedName>
    <definedName function="false" hidden="false" localSheetId="53" name="SAPFuncF4Help" vbProcedure="false">(#NAME?)</definedName>
    <definedName function="false" hidden="false" localSheetId="54" name="SAPFuncF4Help" vbProcedure="false">(#NAME?)</definedName>
    <definedName function="false" hidden="false" localSheetId="55" name="SAPFuncF4Help" vbProcedure="false">(#NAME?)</definedName>
    <definedName function="false" hidden="false" localSheetId="56" name="SAPFuncF4Help" vbProcedure="false">(#NAME?)</definedName>
    <definedName function="false" hidden="false" localSheetId="57" name="SAPFuncF4Help" vbProcedure="false">(#NAME?)</definedName>
    <definedName function="false" hidden="false" localSheetId="58" name="SAPFuncF4Help" vbProcedure="false">(#NAME?)</definedName>
    <definedName function="false" hidden="false" localSheetId="61" name="SAPFuncF4Help" vbProcedure="false">(#NAME?)</definedName>
    <definedName function="false" hidden="false" localSheetId="62" name="SAPFuncF4Help" vbProcedure="false">(#NAME?)</definedName>
    <definedName function="false" hidden="false" localSheetId="63" name="SAPFuncF4Help" vbProcedure="false">(#NAME?)</definedName>
    <definedName function="false" hidden="false" localSheetId="64" name="SAPFuncF4Help" vbProcedure="false">(#NAME?)</definedName>
    <definedName function="false" hidden="false" localSheetId="65" name="SAPFuncF4Help" vbProcedure="false">(#NAME?)</definedName>
    <definedName function="false" hidden="false" localSheetId="66" name="SAPFuncF4Help" vbProcedure="false">(#NAME?)</definedName>
    <definedName function="false" hidden="false" localSheetId="67" name="SAPFuncF4Help" vbProcedure="false">(#NAME?)</definedName>
    <definedName function="false" hidden="false" localSheetId="68" name="SAPFuncF4Help" vbProcedure="false">(#NAME?)</definedName>
    <definedName function="false" hidden="false" localSheetId="69" name="SAPFuncF4Help" vbProcedure="false">(#NAME?)</definedName>
    <definedName function="false" hidden="false" localSheetId="70" name="SAPFuncF4Help" vbProcedure="false">(#NAME?)</definedName>
    <definedName function="false" hidden="false" localSheetId="71" name="SAPFuncF4Help" vbProcedure="false">(#NAME?)</definedName>
    <definedName function="false" hidden="false" localSheetId="72" name="SAPFuncF4Help" vbProcedure="false">(#NAME?)</definedName>
    <definedName function="false" hidden="false" localSheetId="74" name="SAPFuncF4Help" vbProcedure="false">(#NAME?)</definedName>
    <definedName function="false" hidden="false" localSheetId="75" name="SAPFuncF4Help" vbProcedure="false">(#NAME?)</definedName>
    <definedName function="false" hidden="false" localSheetId="76" name="SAPFuncF4Help" vbProcedure="false">(#NAME?)</definedName>
    <definedName function="false" hidden="false" localSheetId="77" name="SAPFuncF4Help" vbProcedure="false">(#NAME?)</definedName>
    <definedName function="false" hidden="false" localSheetId="78" name="SAPFuncF4Help" vbProcedure="false">(#NAME?)</definedName>
    <definedName function="false" hidden="false" localSheetId="79" name="SAPFuncF4Help" vbProcedure="false">(#NAME?)</definedName>
    <definedName function="false" hidden="false" localSheetId="80" name="SAPFuncF4Help" vbProcedure="false">(#NAME?)</definedName>
    <definedName function="false" hidden="false" localSheetId="81" name="SAPFuncF4Help" vbProcedure="false">(#NAME?)</definedName>
    <definedName function="false" hidden="false" localSheetId="82" name="SAPFuncF4Help" vbProcedure="false">(#NAME?)</definedName>
    <definedName function="false" hidden="false" localSheetId="83" name="SAPFuncF4Help" vbProcedure="false">(#NAME?)</definedName>
    <definedName function="false" hidden="false" localSheetId="84" name="SAPFuncF4Help" vbProcedure="false">(#NAME?)</definedName>
    <definedName function="false" hidden="false" localSheetId="85" name="SAPFuncF4Help" vbProcedure="false">(#NAME?)</definedName>
    <definedName function="false" hidden="false" localSheetId="86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6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6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7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8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8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<sst xmlns="http://schemas.openxmlformats.org/spreadsheetml/2006/main" count="6803" uniqueCount="315">
  <si>
    <t xml:space="preserve">Enron North America</t>
  </si>
  <si>
    <t xml:space="preserve">2002 Plan</t>
  </si>
  <si>
    <t xml:space="preserve">2000 YTD</t>
  </si>
  <si>
    <t xml:space="preserve">2001 Oct YTD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</si>
  <si>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</si>
  <si>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</si>
  <si>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</si>
  <si>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</si>
  <si>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</si>
  <si>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Texas Gas Trading</t>
  </si>
  <si>
    <t xml:space="preserve"> 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</si>
  <si>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</si>
  <si>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</si>
  <si>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</si>
  <si>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</si>
  <si>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</si>
  <si>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</si>
  <si>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</si>
  <si>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</si>
  <si>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Derivatives Marketing</t>
  </si>
  <si>
    <t xml:space="preserve">Mexico</t>
  </si>
  <si>
    <t xml:space="preserve">Crude</t>
  </si>
  <si>
    <t xml:space="preserve">Total Gas Trading and Origination***</t>
  </si>
  <si>
    <t xml:space="preserve">Management Book</t>
  </si>
  <si>
    <t xml:space="preserve">ERCOT Power Trading</t>
  </si>
  <si>
    <t xml:space="preserve">Northeast Power Trading</t>
  </si>
  <si>
    <t xml:space="preserve">Midwest Power Trading</t>
  </si>
  <si>
    <t xml:space="preserve">Southeast Trading</t>
  </si>
  <si>
    <t xml:space="preserve">Options</t>
  </si>
  <si>
    <t xml:space="preserve">East Power Origination</t>
  </si>
  <si>
    <t xml:space="preserve">Total East Power Trading and Origination</t>
  </si>
  <si>
    <t xml:space="preserve">West Power Trading- Portland</t>
  </si>
  <si>
    <t xml:space="preserve">West Power Origination- Portland</t>
  </si>
  <si>
    <t xml:space="preserve">Total West Power Trading and Origination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</si>
  <si>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</si>
  <si>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</si>
  <si>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</si>
  <si>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</si>
  <si>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</si>
  <si>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Total Canada Trading and Origination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</si>
  <si>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</si>
  <si>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</si>
  <si>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</si>
  <si>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</si>
  <si>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Regulatory Affairs</t>
  </si>
  <si>
    <t xml:space="preserve">Fundamentals</t>
  </si>
  <si>
    <t xml:space="preserve">Structuring</t>
  </si>
  <si>
    <t xml:space="preserve">Weather</t>
  </si>
  <si>
    <t xml:space="preserve">Energy Ops</t>
  </si>
  <si>
    <t xml:space="preserve">Gas Risk Management</t>
  </si>
  <si>
    <t xml:space="preserve">Gas Volume Management</t>
  </si>
  <si>
    <t xml:space="preserve">Gas Logistics</t>
  </si>
  <si>
    <t xml:space="preserve">Gas Settlements</t>
  </si>
  <si>
    <t xml:space="preserve">Power Risk Management</t>
  </si>
  <si>
    <t xml:space="preserve">Power Volume Management </t>
  </si>
  <si>
    <t xml:space="preserve">Power Logistics****</t>
  </si>
  <si>
    <t xml:space="preserve">Power Settlements</t>
  </si>
  <si>
    <t xml:space="preserve">Documentation</t>
  </si>
  <si>
    <t xml:space="preserve">Management</t>
  </si>
  <si>
    <t xml:space="preserve">Power Volume Mgmt</t>
  </si>
  <si>
    <t xml:space="preserve">Canada</t>
  </si>
  <si>
    <t xml:space="preserve">IT- Development *</t>
  </si>
  <si>
    <t xml:space="preserve">IT- Infrastructure**</t>
  </si>
  <si>
    <t xml:space="preserve">EOL Support</t>
  </si>
  <si>
    <t xml:space="preserve">Canada Support</t>
  </si>
  <si>
    <t xml:space="preserve">Credit</t>
  </si>
  <si>
    <t xml:space="preserve">Market Risk</t>
  </si>
  <si>
    <t xml:space="preserve">Research</t>
  </si>
  <si>
    <t xml:space="preserve">Accounting, Transaction Support</t>
  </si>
  <si>
    <t xml:space="preserve">Cash Operations</t>
  </si>
  <si>
    <t xml:space="preserve">Tax</t>
  </si>
  <si>
    <t xml:space="preserve">HR</t>
  </si>
  <si>
    <t xml:space="preserve">IT- EOL</t>
  </si>
  <si>
    <t xml:space="preserve">Legal</t>
  </si>
  <si>
    <t xml:space="preserve">Rent </t>
  </si>
  <si>
    <t xml:space="preserve">Houston &amp; Other</t>
  </si>
  <si>
    <t xml:space="preserve">Portland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</si>
  <si>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</si>
  <si>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</si>
  <si>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</si>
  <si>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</si>
  <si>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</si>
  <si>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</si>
  <si>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</si>
  <si>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</si>
  <si>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</si>
  <si>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</si>
  <si>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</si>
  <si>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</si>
  <si>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</si>
  <si>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***Unable to identify which region 2 gas employees belong to.</t>
  </si>
  <si>
    <t xml:space="preserve">****Power Logistics Plan was based on Gas Logistics Plan adjusted for headcount.</t>
  </si>
  <si>
    <t xml:space="preserve">2002 Expenses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</si>
  <si>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</si>
  <si>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</si>
  <si>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</si>
  <si>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</si>
  <si>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Cash Operations and Tax</t>
  </si>
  <si>
    <t xml:space="preserve">Research/Market Risk</t>
  </si>
  <si>
    <t xml:space="preserve">Gas Book Running</t>
  </si>
  <si>
    <t xml:space="preserve">Gas Volume Mgmt</t>
  </si>
  <si>
    <t xml:space="preserve">Power Logistics</t>
  </si>
  <si>
    <t xml:space="preserve">Power Book Running</t>
  </si>
  <si>
    <t xml:space="preserve">IT- EOL Support</t>
  </si>
  <si>
    <t xml:space="preserve">Texas - Trading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</si>
  <si>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</si>
  <si>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</si>
  <si>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</si>
  <si>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</si>
  <si>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</si>
  <si>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</si>
  <si>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</si>
  <si>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</si>
  <si>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</si>
  <si>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</si>
  <si>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</si>
  <si>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</si>
  <si>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</si>
  <si>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</si>
  <si>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</si>
  <si>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</si>
  <si>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</si>
  <si>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</si>
  <si>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</si>
  <si>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</si>
  <si>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</si>
  <si>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</si>
  <si>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</si>
  <si>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</si>
  <si>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</si>
  <si>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</si>
  <si>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</si>
  <si>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</si>
  <si>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</si>
  <si>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</si>
  <si>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</si>
  <si>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</si>
  <si>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</si>
  <si>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</si>
  <si>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</si>
  <si>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</si>
  <si>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</si>
  <si>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</si>
  <si>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</si>
  <si>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</si>
  <si>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</si>
  <si>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</si>
  <si>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</si>
  <si>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</si>
  <si>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</si>
  <si>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</si>
  <si>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</si>
  <si>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</si>
  <si>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</si>
  <si>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</si>
  <si>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</si>
  <si>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</si>
  <si>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</si>
  <si>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</si>
  <si>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</si>
  <si>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</si>
  <si>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</si>
  <si>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</si>
  <si>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</si>
  <si>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</si>
  <si>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East Gas - Trading</t>
  </si>
  <si>
    <t xml:space="preserve">Central Gas - Trading</t>
  </si>
  <si>
    <t xml:space="preserve">West Gas - Trading </t>
  </si>
  <si>
    <t xml:space="preserve">ADJUSTED</t>
  </si>
  <si>
    <t xml:space="preserve">Nymex Desk</t>
  </si>
  <si>
    <t xml:space="preserve">Quigley, Henry H</t>
  </si>
  <si>
    <t xml:space="preserve">ASSOCIATE</t>
  </si>
  <si>
    <t xml:space="preserve">ENA FINANCIAL</t>
  </si>
  <si>
    <t xml:space="preserve">Maggi, Michael J</t>
  </si>
  <si>
    <t xml:space="preserve">DIRECTOR</t>
  </si>
  <si>
    <t xml:space="preserve">May, Lawrence J</t>
  </si>
  <si>
    <t xml:space="preserve">Griffith, John H</t>
  </si>
  <si>
    <t xml:space="preserve">MANAGER</t>
  </si>
  <si>
    <t xml:space="preserve">Arnold, John D</t>
  </si>
  <si>
    <t xml:space="preserve">VICE PRESIDENT</t>
  </si>
  <si>
    <t xml:space="preserve">Zipper, Andrew A</t>
  </si>
  <si>
    <t xml:space="preserve">Ligums, John (Jeb)</t>
  </si>
  <si>
    <t xml:space="preserve">Texas Gas - Origination</t>
  </si>
  <si>
    <t xml:space="preserve">East Gas - Orig</t>
  </si>
  <si>
    <t xml:space="preserve">Central Gas - Orig</t>
  </si>
  <si>
    <t xml:space="preserve">West Gas - Orig</t>
  </si>
  <si>
    <t xml:space="preserve">Jaime Williams-Quintero</t>
  </si>
  <si>
    <t xml:space="preserve">Agustin Perez-Miranda</t>
  </si>
  <si>
    <t xml:space="preserve">East Gas - Trading Analysts/Associates</t>
  </si>
  <si>
    <t xml:space="preserve">West Gas - Trading Analysts/Associates</t>
  </si>
  <si>
    <t xml:space="preserve">Texas - Trading Analysts/Associates</t>
  </si>
  <si>
    <t xml:space="preserve">Financial Gas Analysts/Associates</t>
  </si>
  <si>
    <t xml:space="preserve">Derivatives/Wellhead Analysts/Associates</t>
  </si>
  <si>
    <t xml:space="preserve">Central Gas - Trading Analysts/Associates</t>
  </si>
  <si>
    <t xml:space="preserve">Financial Gas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</si>
  <si>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</si>
  <si>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</si>
  <si>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</si>
  <si>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</si>
  <si>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Hicks, W. Wade</t>
  </si>
  <si>
    <t xml:space="preserve">US-GP LPG TRADING</t>
  </si>
  <si>
    <t xml:space="preserve">Jackson, Lee C</t>
  </si>
  <si>
    <t xml:space="preserve">South, Chad E</t>
  </si>
  <si>
    <t xml:space="preserve">US-GP PETROCHEMICALS TRADING</t>
  </si>
  <si>
    <t xml:space="preserve">Management East Power Trading</t>
  </si>
  <si>
    <t xml:space="preserve">Ercot Power Trading</t>
  </si>
  <si>
    <t xml:space="preserve">West Power Trading</t>
  </si>
  <si>
    <t xml:space="preserve">% of </t>
  </si>
  <si>
    <t xml:space="preserve">Total Exp</t>
  </si>
  <si>
    <t xml:space="preserve">West Power Origination</t>
  </si>
  <si>
    <t xml:space="preserve">Canada Trading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</si>
  <si>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</si>
  <si>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</si>
  <si>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</si>
  <si>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</si>
  <si>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</si>
  <si>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</si>
  <si>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</si>
  <si>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</si>
  <si>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</si>
  <si>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</si>
  <si>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</si>
  <si>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Origination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</si>
  <si>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</si>
  <si>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</si>
  <si>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</si>
  <si>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</si>
  <si>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</si>
  <si>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</si>
  <si>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</si>
  <si>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</si>
  <si>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</si>
  <si>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</si>
  <si>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</si>
  <si>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</si>
  <si>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East Power Analyst &amp; Associate</t>
  </si>
  <si>
    <t xml:space="preserve">Gas - Analysts/Associates</t>
  </si>
  <si>
    <t xml:space="preserve">Crude Analysts &amp; Associates</t>
  </si>
  <si>
    <t xml:space="preserve">West Power Analyst &amp; Associate</t>
  </si>
  <si>
    <t xml:space="preserve">Canada Analyst &amp; Associate</t>
  </si>
  <si>
    <t xml:space="preserve">Office of the Chair Administration</t>
  </si>
  <si>
    <t xml:space="preserve">Natural Gas Admins</t>
  </si>
  <si>
    <t xml:space="preserve">East Power Admins</t>
  </si>
  <si>
    <t xml:space="preserve">West Power Admins</t>
  </si>
  <si>
    <t xml:space="preserve">Canada </t>
  </si>
  <si>
    <t xml:space="preserve">Canada Admins</t>
  </si>
  <si>
    <t xml:space="preserve">Coordinator</t>
  </si>
  <si>
    <t xml:space="preserve">Benefits &amp; Taxes</t>
  </si>
  <si>
    <t xml:space="preserve">Based on Legal Expenses</t>
  </si>
  <si>
    <t xml:space="preserve"> Fundamentals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</si>
  <si>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</si>
  <si>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</si>
  <si>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</si>
  <si>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</si>
  <si>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Energy Operations </t>
  </si>
  <si>
    <t xml:space="preserve">Energy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</si>
  <si>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</si>
  <si>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</si>
  <si>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</si>
  <si>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</si>
  <si>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</si>
  <si>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</si>
  <si>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</si>
  <si>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</si>
  <si>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Gas Risk Mgmt</t>
  </si>
  <si>
    <t xml:space="preserve">Analyst &amp; Associate</t>
  </si>
  <si>
    <t xml:space="preserve">Gas Settlement</t>
  </si>
  <si>
    <t xml:space="preserve">Power Risk Mgmt</t>
  </si>
  <si>
    <t xml:space="preserve">Power Settlement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</si>
  <si>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</si>
  <si>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</si>
  <si>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</si>
  <si>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</si>
  <si>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</si>
  <si>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</si>
  <si>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</si>
  <si>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</si>
  <si>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</si>
  <si>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</si>
  <si>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</si>
  <si>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</si>
  <si>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</si>
  <si>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</si>
  <si>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</si>
  <si>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</si>
  <si>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</si>
  <si>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Credit </t>
  </si>
  <si>
    <t xml:space="preserve">Exec. Asst.</t>
  </si>
  <si>
    <t xml:space="preserve">EVP/CRO</t>
  </si>
  <si>
    <t xml:space="preserve">Sr Specialst</t>
  </si>
  <si>
    <t xml:space="preserve">General Counsel Asst</t>
  </si>
  <si>
    <t xml:space="preserve">Financial Operations</t>
  </si>
  <si>
    <t xml:space="preserve">Reporting, GL, Trading &amp; Transaction Support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</si>
  <si>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</si>
  <si>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</si>
  <si>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</si>
  <si>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</si>
  <si>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</si>
  <si>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</si>
  <si>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</si>
  <si>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Adjusted Amts</t>
  </si>
  <si>
    <t xml:space="preserve">Also adjusted up to reach a total of $800k.</t>
  </si>
  <si>
    <t xml:space="preserve">Human Resources</t>
  </si>
  <si>
    <t xml:space="preserve">Sr Counsel</t>
  </si>
  <si>
    <t xml:space="preserve">VP - Counsel</t>
  </si>
  <si>
    <t xml:space="preserve">Outside Legal - $5,000,000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</si>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</sst>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sz val="9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9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SAPLocked" xfId="21"/>
    <cellStyle name="SAPOutput" xfId="22"/>
    <cellStyle name="SAPUnLocked" xfId="23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worksheet" Target="worksheets/sheet66.xml"/><Relationship Id="rId69" Type="http://schemas.openxmlformats.org/officeDocument/2006/relationships/worksheet" Target="worksheets/sheet67.xml"/><Relationship Id="rId70" Type="http://schemas.openxmlformats.org/officeDocument/2006/relationships/worksheet" Target="worksheets/sheet68.xml"/><Relationship Id="rId71" Type="http://schemas.openxmlformats.org/officeDocument/2006/relationships/worksheet" Target="worksheets/sheet69.xml"/><Relationship Id="rId72" Type="http://schemas.openxmlformats.org/officeDocument/2006/relationships/worksheet" Target="worksheets/sheet70.xml"/><Relationship Id="rId73" Type="http://schemas.openxmlformats.org/officeDocument/2006/relationships/worksheet" Target="worksheets/sheet71.xml"/><Relationship Id="rId74" Type="http://schemas.openxmlformats.org/officeDocument/2006/relationships/worksheet" Target="worksheets/sheet72.xml"/><Relationship Id="rId75" Type="http://schemas.openxmlformats.org/officeDocument/2006/relationships/worksheet" Target="worksheets/sheet73.xml"/><Relationship Id="rId76" Type="http://schemas.openxmlformats.org/officeDocument/2006/relationships/worksheet" Target="worksheets/sheet74.xml"/><Relationship Id="rId77" Type="http://schemas.openxmlformats.org/officeDocument/2006/relationships/worksheet" Target="worksheets/sheet75.xml"/><Relationship Id="rId78" Type="http://schemas.openxmlformats.org/officeDocument/2006/relationships/worksheet" Target="worksheets/sheet76.xml"/><Relationship Id="rId79" Type="http://schemas.openxmlformats.org/officeDocument/2006/relationships/worksheet" Target="worksheets/sheet77.xml"/><Relationship Id="rId80" Type="http://schemas.openxmlformats.org/officeDocument/2006/relationships/worksheet" Target="worksheets/sheet78.xml"/><Relationship Id="rId81" Type="http://schemas.openxmlformats.org/officeDocument/2006/relationships/worksheet" Target="worksheets/sheet79.xml"/><Relationship Id="rId82" Type="http://schemas.openxmlformats.org/officeDocument/2006/relationships/worksheet" Target="worksheets/sheet80.xml"/><Relationship Id="rId83" Type="http://schemas.openxmlformats.org/officeDocument/2006/relationships/worksheet" Target="worksheets/sheet81.xml"/><Relationship Id="rId84" Type="http://schemas.openxmlformats.org/officeDocument/2006/relationships/worksheet" Target="worksheets/sheet82.xml"/><Relationship Id="rId85" Type="http://schemas.openxmlformats.org/officeDocument/2006/relationships/worksheet" Target="worksheets/sheet83.xml"/><Relationship Id="rId86" Type="http://schemas.openxmlformats.org/officeDocument/2006/relationships/worksheet" Target="worksheets/sheet84.xml"/><Relationship Id="rId87" Type="http://schemas.openxmlformats.org/officeDocument/2006/relationships/worksheet" Target="worksheets/sheet85.xml"/><Relationship Id="rId88" Type="http://schemas.openxmlformats.org/officeDocument/2006/relationships/worksheet" Target="worksheets/sheet86.xml"/><Relationship Id="rId89" Type="http://schemas.openxmlformats.org/officeDocument/2006/relationships/worksheet" Target="worksheets/sheet87.xml"/><Relationship Id="rId90" Type="http://schemas.openxmlformats.org/officeDocument/2006/relationships/worksheet" Target="worksheets/sheet88.xml"/><Relationship Id="rId91" Type="http://schemas.openxmlformats.org/officeDocument/2006/relationships/worksheet" Target="worksheets/sheet89.xml"/><Relationship Id="rId92" Type="http://schemas.openxmlformats.org/officeDocument/2006/relationships/externalLink" Target="externalLinks/externalLink1.xml"/><Relationship Id="rId93" Type="http://schemas.openxmlformats.org/officeDocument/2006/relationships/externalLink" Target="externalLinks/externalLink2.xml"/><Relationship Id="rId94" Type="http://schemas.openxmlformats.org/officeDocument/2006/relationships/externalLink" Target="externalLinks/externalLink3.xml"/><Relationship Id="rId95" Type="http://schemas.openxmlformats.org/officeDocument/2006/relationships/externalLink" Target="externalLinks/externalLink4.xml"/><Relationship Id="rId96" Type="http://schemas.openxmlformats.org/officeDocument/2006/relationships/externalLink" Target="externalLinks/externalLink5.xml"/><Relationship Id="rId97" Type="http://schemas.openxmlformats.org/officeDocument/2006/relationships/externalLink" Target="externalLinks/externalLink6.xml"/><Relationship Id="rId98" Type="http://schemas.openxmlformats.org/officeDocument/2006/relationships/externalLink" Target="externalLinks/externalLink7.xml"/><Relationship Id="rId99" Type="http://schemas.openxmlformats.org/officeDocument/2006/relationships/externalLink" Target="externalLinks/externalLink8.xml"/><Relationship Id="rId100" Type="http://schemas.openxmlformats.org/officeDocument/2006/relationships/externalLink" Target="externalLinks/externalLink9.xml"/><Relationship Id="rId101" Type="http://schemas.openxmlformats.org/officeDocument/2006/relationships/externalLink" Target="externalLinks/externalLink10.xml"/><Relationship Id="rId102" Type="http://schemas.openxmlformats.org/officeDocument/2006/relationships/externalLink" Target="externalLinks/externalLink11.xml"/><Relationship Id="rId103" Type="http://schemas.openxmlformats.org/officeDocument/2006/relationships/externalLink" Target="externalLinks/externalLink12.xml"/><Relationship Id="rId104" Type="http://schemas.openxmlformats.org/officeDocument/2006/relationships/externalLink" Target="externalLinks/externalLink13.xml"/><Relationship Id="rId105" Type="http://schemas.openxmlformats.org/officeDocument/2006/relationships/externalLink" Target="externalLinks/externalLink14.xml"/><Relationship Id="rId10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18.xml"/><Relationship Id="rId110" Type="http://schemas.openxmlformats.org/officeDocument/2006/relationships/externalLink" Target="externalLinks/externalLink19.xml"/><Relationship Id="rId111" Type="http://schemas.openxmlformats.org/officeDocument/2006/relationships/externalLink" Target="externalLinks/externalLink20.xml"/><Relationship Id="rId112" Type="http://schemas.openxmlformats.org/officeDocument/2006/relationships/externalLink" Target="externalLinks/externalLink21.xml"/><Relationship Id="rId113" Type="http://schemas.openxmlformats.org/officeDocument/2006/relationships/externalLink" Target="externalLinks/externalLink22.xml"/><Relationship Id="rId114" Type="http://schemas.openxmlformats.org/officeDocument/2006/relationships/externalLink" Target="externalLinks/externalLink23.xml"/><Relationship Id="rId115" Type="http://schemas.openxmlformats.org/officeDocument/2006/relationships/externalLink" Target="externalLinks/externalLink24.xml"/><Relationship Id="rId1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Eops%20breakout%2001-08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WPR%20Tradin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Natural%20Gas%20Consolidat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PR%20Trading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vandor/Local%20Settings/Temporary%20Internet%20Files/OLK180/West%20Power%20Consolidation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fin ops"/>
      <sheetName val="cash ops"/>
      <sheetName val="sapactivexlhiddensheet"/>
      <sheetName val="Variance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EOPs"/>
      <sheetName val="Gas Risk"/>
      <sheetName val="Gas Vol Mgmt"/>
      <sheetName val="Gas Logistics"/>
      <sheetName val="Gas Settlemnt"/>
      <sheetName val="Pwr Risk"/>
      <sheetName val="Pwr Vol Mgmt"/>
      <sheetName val="Power Logistics"/>
      <sheetName val="Pwr Settlemt"/>
      <sheetName val="Documentation"/>
      <sheetName val="Managemt"/>
    </sheetNames>
    <sheetDataSet>
      <sheetData sheetId="0">
        <row r="8">
          <cell r="H8">
            <v>11877365.04</v>
          </cell>
        </row>
        <row r="9">
          <cell r="H9">
            <v>0</v>
          </cell>
        </row>
        <row r="10">
          <cell r="H10">
            <v>2149462.8</v>
          </cell>
        </row>
        <row r="11">
          <cell r="H11">
            <v>3052092</v>
          </cell>
        </row>
        <row r="12">
          <cell r="H12">
            <v>366017.672189831</v>
          </cell>
        </row>
        <row r="13">
          <cell r="H13">
            <v>426672.009979661</v>
          </cell>
        </row>
        <row r="14">
          <cell r="H14">
            <v>337190.054237289</v>
          </cell>
        </row>
        <row r="15">
          <cell r="H15">
            <v>424070.806779661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1743839.87205424</v>
          </cell>
        </row>
        <row r="19">
          <cell r="H19">
            <v>372491.633898305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2.xml.rels><?xml version="1.0" encoding="UTF-8"?>
<Relationships xmlns="http://schemas.openxmlformats.org/package/2006/relationships"><Relationship Id="rId1" Type="http://schemas.openxmlformats.org/officeDocument/2006/relationships/comments" Target="../comments52.xml"/><Relationship Id="rId2" Type="http://schemas.openxmlformats.org/officeDocument/2006/relationships/vmlDrawing" Target="../drawings/vmlDrawing1.vml"/>
</Relationships>
</file>

<file path=xl/worksheets/_rels/sheet65.xml.rels><?xml version="1.0" encoding="UTF-8"?>
<Relationships xmlns="http://schemas.openxmlformats.org/package/2006/relationships"><Relationship Id="rId1" Type="http://schemas.openxmlformats.org/officeDocument/2006/relationships/comments" Target="../comments65.xml"/><Relationship Id="rId2" Type="http://schemas.openxmlformats.org/officeDocument/2006/relationships/vmlDrawing" Target="../drawings/vmlDrawing2.vml"/>
</Relationships>
</file>

<file path=xl/worksheets/_rels/sheet66.xml.rels><?xml version="1.0" encoding="UTF-8"?>
<Relationships xmlns="http://schemas.openxmlformats.org/package/2006/relationships"><Relationship Id="rId1" Type="http://schemas.openxmlformats.org/officeDocument/2006/relationships/comments" Target="../comments66.xml"/><Relationship Id="rId2" Type="http://schemas.openxmlformats.org/officeDocument/2006/relationships/vmlDrawing" Target="../drawings/vmlDrawing3.vml"/>
</Relationships>
</file>

<file path=xl/worksheets/_rels/sheet79.xml.rels><?xml version="1.0" encoding="UTF-8"?>
<Relationships xmlns="http://schemas.openxmlformats.org/package/2006/relationships"><Relationship Id="rId1" Type="http://schemas.openxmlformats.org/officeDocument/2006/relationships/comments" Target="../comments79.xml"/><Relationship Id="rId2" Type="http://schemas.openxmlformats.org/officeDocument/2006/relationships/vmlDrawing" Target="../drawings/vmlDrawing4.vml"/>
</Relationships>
</file>

<file path=xl/worksheets/_rels/sheet80.xml.rels><?xml version="1.0" encoding="UTF-8"?>
<Relationships xmlns="http://schemas.openxmlformats.org/package/2006/relationships"><Relationship Id="rId1" Type="http://schemas.openxmlformats.org/officeDocument/2006/relationships/comments" Target="../comments80.xml"/><Relationship Id="rId2" Type="http://schemas.openxmlformats.org/officeDocument/2006/relationships/vmlDrawing" Target="../drawings/vmlDrawing5.vml"/>
</Relationships>
</file>

<file path=xl/worksheets/_rels/sheet81.xml.rels><?xml version="1.0" encoding="UTF-8"?>
<Relationships xmlns="http://schemas.openxmlformats.org/package/2006/relationships"><Relationship Id="rId1" Type="http://schemas.openxmlformats.org/officeDocument/2006/relationships/comments" Target="../comments81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2</v>
      </c>
      <c r="I5" s="1"/>
      <c r="J5" s="4" t="n">
        <v>2000</v>
      </c>
      <c r="L5" s="4" t="s">
        <v>3</v>
      </c>
      <c r="N5" s="4" t="n">
        <v>2001</v>
      </c>
      <c r="P5" s="4" t="s">
        <v>1</v>
      </c>
      <c r="T5" s="4" t="s">
        <v>1</v>
      </c>
    </row>
    <row r="6" customFormat="false" ht="13.5" hidden="false" customHeight="false" outlineLevel="0" collapsed="false">
      <c r="E6" s="4" t="s">
        <v>4</v>
      </c>
      <c r="G6" s="5" t="s">
        <v>5</v>
      </c>
      <c r="H6" s="6" t="s">
        <v>6</v>
      </c>
      <c r="I6" s="1"/>
      <c r="J6" s="6" t="s">
        <v>7</v>
      </c>
      <c r="K6" s="1"/>
      <c r="L6" s="6" t="s">
        <v>6</v>
      </c>
      <c r="M6" s="7"/>
      <c r="N6" s="6" t="s">
        <v>7</v>
      </c>
      <c r="O6" s="7"/>
      <c r="P6" s="6" t="s">
        <v>6</v>
      </c>
      <c r="R6" s="4" t="s">
        <v>8</v>
      </c>
      <c r="T6" s="6" t="s">
        <v>7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9</v>
      </c>
      <c r="E9" s="11" t="n">
        <v>0</v>
      </c>
      <c r="F9" s="12"/>
      <c r="G9" s="11" t="n">
        <v>0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10</v>
      </c>
      <c r="N9" s="14" t="n">
        <f aca="false">164-37+16</f>
        <v>143</v>
      </c>
      <c r="O9" s="12"/>
      <c r="P9" s="11" t="n">
        <v>1</v>
      </c>
      <c r="Q9" s="12"/>
      <c r="R9" s="11" t="n">
        <f aca="false">G9-P9</f>
        <v>-1</v>
      </c>
      <c r="T9" s="14" t="n">
        <v>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true" outlineLevel="0" collapsed="false">
      <c r="B11" s="0" t="s">
        <v>11</v>
      </c>
      <c r="E11" s="11" t="n">
        <v>0</v>
      </c>
      <c r="F11" s="12"/>
      <c r="G11" s="11" t="n">
        <v>0</v>
      </c>
      <c r="H11" s="11"/>
      <c r="I11" s="12"/>
      <c r="J11" s="13"/>
      <c r="K11" s="12"/>
      <c r="L11" s="11"/>
      <c r="M11" s="12"/>
      <c r="N11" s="14"/>
      <c r="O11" s="12"/>
      <c r="P11" s="11" t="n">
        <v>6</v>
      </c>
      <c r="Q11" s="12"/>
      <c r="R11" s="11" t="n">
        <f aca="false">G11-P11</f>
        <v>-6</v>
      </c>
      <c r="T11" s="14" t="n">
        <v>7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3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true" outlineLevel="0" collapsed="false">
      <c r="B13" s="0" t="s">
        <v>12</v>
      </c>
      <c r="E13" s="11" t="n">
        <v>0</v>
      </c>
      <c r="F13" s="12"/>
      <c r="G13" s="11" t="n">
        <v>0</v>
      </c>
      <c r="H13" s="11"/>
      <c r="I13" s="12"/>
      <c r="J13" s="13"/>
      <c r="K13" s="12"/>
      <c r="L13" s="11"/>
      <c r="M13" s="12"/>
      <c r="N13" s="14"/>
      <c r="O13" s="12"/>
      <c r="P13" s="11" t="n">
        <v>1.6</v>
      </c>
      <c r="Q13" s="12"/>
      <c r="R13" s="11" t="n">
        <f aca="false">G13-P13</f>
        <v>-1.6</v>
      </c>
      <c r="T13" s="14" t="n">
        <v>7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true" outlineLevel="0" collapsed="false">
      <c r="B15" s="0" t="s">
        <v>13</v>
      </c>
      <c r="E15" s="11" t="n">
        <v>0</v>
      </c>
      <c r="F15" s="12"/>
      <c r="G15" s="11" t="n">
        <v>0</v>
      </c>
      <c r="H15" s="11"/>
      <c r="I15" s="12"/>
      <c r="J15" s="13"/>
      <c r="K15" s="12"/>
      <c r="L15" s="11"/>
      <c r="M15" s="12"/>
      <c r="N15" s="14"/>
      <c r="O15" s="12"/>
      <c r="P15" s="11" t="n">
        <v>1.2</v>
      </c>
      <c r="Q15" s="12"/>
      <c r="R15" s="11" t="n">
        <f aca="false">G15-P15</f>
        <v>-1.2</v>
      </c>
      <c r="T15" s="14" t="n">
        <v>4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3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true" outlineLevel="0" collapsed="false">
      <c r="B17" s="0" t="s">
        <v>14</v>
      </c>
      <c r="E17" s="11" t="n">
        <v>0</v>
      </c>
      <c r="F17" s="12"/>
      <c r="G17" s="11" t="n">
        <v>0</v>
      </c>
      <c r="H17" s="11"/>
      <c r="I17" s="12"/>
      <c r="J17" s="13"/>
      <c r="K17" s="12"/>
      <c r="L17" s="11"/>
      <c r="M17" s="12"/>
      <c r="N17" s="14"/>
      <c r="O17" s="12"/>
      <c r="P17" s="11" t="n">
        <v>1.6</v>
      </c>
      <c r="Q17" s="12"/>
      <c r="R17" s="11" t="n">
        <f aca="false">G17-P17</f>
        <v>-1.6</v>
      </c>
      <c r="T17" s="14" t="n">
        <v>6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true" outlineLevel="0" collapsed="false">
      <c r="B19" s="0" t="s">
        <v>15</v>
      </c>
      <c r="E19" s="11" t="n">
        <v>0</v>
      </c>
      <c r="F19" s="12"/>
      <c r="G19" s="11" t="n">
        <v>0</v>
      </c>
      <c r="H19" s="11"/>
      <c r="I19" s="12"/>
      <c r="J19" s="13"/>
      <c r="K19" s="12"/>
      <c r="L19" s="11"/>
      <c r="M19" s="12"/>
      <c r="N19" s="14"/>
      <c r="O19" s="12"/>
      <c r="P19" s="11" t="n">
        <v>1.6</v>
      </c>
      <c r="Q19" s="12"/>
      <c r="R19" s="11" t="n">
        <f aca="false">G19-P19</f>
        <v>-1.6</v>
      </c>
      <c r="T19" s="14" t="n">
        <v>4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3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16</v>
      </c>
      <c r="E21" s="11" t="n">
        <v>0</v>
      </c>
      <c r="F21" s="12"/>
      <c r="G21" s="11" t="n">
        <v>0</v>
      </c>
      <c r="H21" s="11"/>
      <c r="I21" s="12"/>
      <c r="J21" s="13"/>
      <c r="K21" s="12"/>
      <c r="L21" s="11" t="s">
        <v>10</v>
      </c>
      <c r="M21" s="12"/>
      <c r="N21" s="14"/>
      <c r="O21" s="12"/>
      <c r="P21" s="11" t="n">
        <v>1.2</v>
      </c>
      <c r="Q21" s="12"/>
      <c r="R21" s="11" t="n">
        <f aca="false">G21-P21</f>
        <v>-1.2</v>
      </c>
      <c r="T21" s="14" t="n">
        <v>4</v>
      </c>
    </row>
    <row r="22" customFormat="false" ht="6.75" hidden="false" customHeight="true" outlineLevel="0" collapsed="false"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</row>
    <row r="23" customFormat="false" ht="12.75" hidden="false" customHeight="false" outlineLevel="0" collapsed="false">
      <c r="B23" s="0" t="s">
        <v>17</v>
      </c>
      <c r="E23" s="11" t="n">
        <v>0</v>
      </c>
      <c r="F23" s="12"/>
      <c r="G23" s="11" t="n">
        <v>0</v>
      </c>
      <c r="H23" s="11"/>
      <c r="I23" s="12"/>
      <c r="J23" s="13"/>
      <c r="K23" s="12"/>
      <c r="L23" s="11"/>
      <c r="M23" s="12"/>
      <c r="N23" s="14"/>
      <c r="O23" s="12"/>
      <c r="P23" s="11" t="n">
        <v>1.8</v>
      </c>
      <c r="Q23" s="12"/>
      <c r="R23" s="11" t="n">
        <f aca="false">G23-P23</f>
        <v>-1.8</v>
      </c>
      <c r="T23" s="14" t="n">
        <v>7</v>
      </c>
    </row>
    <row r="24" customFormat="false" ht="6.75" hidden="false" customHeight="true" outlineLevel="0" collapsed="false">
      <c r="E24" s="11"/>
      <c r="F24" s="12"/>
      <c r="G24" s="11"/>
      <c r="H24" s="11"/>
      <c r="I24" s="12"/>
      <c r="J24" s="15"/>
      <c r="K24" s="12"/>
      <c r="L24" s="11"/>
      <c r="M24" s="12"/>
      <c r="N24" s="14"/>
      <c r="O24" s="12"/>
      <c r="P24" s="11"/>
      <c r="Q24" s="12"/>
      <c r="R24" s="11"/>
      <c r="T24" s="14"/>
    </row>
    <row r="25" customFormat="false" ht="12.75" hidden="false" customHeight="false" outlineLevel="0" collapsed="false">
      <c r="B25" s="0" t="s">
        <v>18</v>
      </c>
      <c r="E25" s="11" t="n">
        <v>0</v>
      </c>
      <c r="F25" s="12"/>
      <c r="G25" s="11" t="n">
        <v>0</v>
      </c>
      <c r="H25" s="11"/>
      <c r="I25" s="12"/>
      <c r="J25" s="13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7</v>
      </c>
    </row>
    <row r="26" customFormat="false" ht="6.75" hidden="false" customHeight="true" outlineLevel="0" collapsed="false">
      <c r="E26" s="11"/>
      <c r="F26" s="12"/>
      <c r="G26" s="11"/>
      <c r="H26" s="11"/>
      <c r="I26" s="12"/>
      <c r="J26" s="15"/>
      <c r="K26" s="12"/>
      <c r="L26" s="11"/>
      <c r="M26" s="12"/>
      <c r="N26" s="14"/>
      <c r="O26" s="12"/>
      <c r="P26" s="11"/>
      <c r="Q26" s="12"/>
      <c r="R26" s="11"/>
      <c r="T26" s="14"/>
    </row>
    <row r="27" customFormat="false" ht="12.75" hidden="false" customHeight="false" outlineLevel="0" collapsed="false">
      <c r="B27" s="0" t="s">
        <v>19</v>
      </c>
      <c r="E27" s="11" t="n">
        <v>0</v>
      </c>
      <c r="F27" s="12"/>
      <c r="G27" s="11" t="n">
        <v>0</v>
      </c>
      <c r="H27" s="11"/>
      <c r="I27" s="12"/>
      <c r="J27" s="13"/>
      <c r="K27" s="12"/>
      <c r="L27" s="11"/>
      <c r="M27" s="12"/>
      <c r="N27" s="14"/>
      <c r="O27" s="12"/>
      <c r="P27" s="11" t="n">
        <v>2.9</v>
      </c>
      <c r="Q27" s="12"/>
      <c r="R27" s="11" t="n">
        <f aca="false">G27-P27</f>
        <v>-2.9</v>
      </c>
      <c r="T27" s="14" t="n">
        <f aca="false">9+2</f>
        <v>11</v>
      </c>
    </row>
    <row r="28" customFormat="false" ht="6.75" hidden="true" customHeight="true" outlineLevel="0" collapsed="false">
      <c r="E28" s="11"/>
      <c r="F28" s="12"/>
      <c r="G28" s="11"/>
      <c r="H28" s="11"/>
      <c r="I28" s="12"/>
      <c r="J28" s="15"/>
      <c r="K28" s="12"/>
      <c r="L28" s="11"/>
      <c r="M28" s="12"/>
      <c r="N28" s="14"/>
      <c r="O28" s="12"/>
      <c r="P28" s="11"/>
      <c r="Q28" s="12"/>
      <c r="R28" s="11"/>
      <c r="T28" s="14"/>
    </row>
    <row r="29" customFormat="false" ht="12.75" hidden="true" customHeight="false" outlineLevel="0" collapsed="false">
      <c r="B29" s="0" t="s">
        <v>20</v>
      </c>
      <c r="E29" s="11" t="n">
        <v>0</v>
      </c>
      <c r="F29" s="12"/>
      <c r="G29" s="11" t="n">
        <v>0</v>
      </c>
      <c r="H29" s="11"/>
      <c r="I29" s="12"/>
      <c r="J29" s="13"/>
      <c r="K29" s="12"/>
      <c r="L29" s="11"/>
      <c r="M29" s="12"/>
      <c r="N29" s="14"/>
      <c r="O29" s="12"/>
      <c r="P29" s="11" t="n">
        <v>0</v>
      </c>
      <c r="Q29" s="12"/>
      <c r="R29" s="11" t="n">
        <f aca="false">G29-P29</f>
        <v>0</v>
      </c>
      <c r="T29" s="14" t="n">
        <v>0</v>
      </c>
    </row>
    <row r="30" customFormat="false" ht="5.25" hidden="false" customHeight="true" outlineLevel="0" collapsed="false">
      <c r="E30" s="11"/>
      <c r="F30" s="12"/>
      <c r="G30" s="11"/>
      <c r="H30" s="11"/>
      <c r="I30" s="12"/>
      <c r="J30" s="13"/>
      <c r="K30" s="12"/>
      <c r="L30" s="11"/>
      <c r="M30" s="12"/>
      <c r="N30" s="14"/>
      <c r="O30" s="12"/>
      <c r="P30" s="11"/>
      <c r="Q30" s="12"/>
      <c r="R30" s="11"/>
      <c r="T30" s="14"/>
    </row>
    <row r="31" customFormat="false" ht="12.75" hidden="false" customHeight="false" outlineLevel="0" collapsed="false">
      <c r="B31" s="0" t="s">
        <v>21</v>
      </c>
      <c r="E31" s="11" t="n">
        <v>0</v>
      </c>
      <c r="F31" s="12"/>
      <c r="G31" s="11" t="n">
        <v>0</v>
      </c>
      <c r="H31" s="11"/>
      <c r="I31" s="12"/>
      <c r="J31" s="13"/>
      <c r="K31" s="12"/>
      <c r="L31" s="11"/>
      <c r="M31" s="12"/>
      <c r="N31" s="14"/>
      <c r="O31" s="12"/>
      <c r="P31" s="11" t="n">
        <v>0.5</v>
      </c>
      <c r="Q31" s="12"/>
      <c r="R31" s="11" t="n">
        <f aca="false">G31-P31</f>
        <v>-0.5</v>
      </c>
      <c r="T31" s="14" t="n">
        <v>2</v>
      </c>
    </row>
    <row r="32" customFormat="false" ht="6.75" hidden="false" customHeight="true" outlineLevel="0" collapsed="false">
      <c r="E32" s="11"/>
      <c r="F32" s="12"/>
      <c r="G32" s="11"/>
      <c r="H32" s="11"/>
      <c r="I32" s="12"/>
      <c r="J32" s="13"/>
      <c r="K32" s="12"/>
      <c r="L32" s="11"/>
      <c r="M32" s="12"/>
      <c r="N32" s="14"/>
      <c r="O32" s="12"/>
      <c r="P32" s="11"/>
      <c r="Q32" s="12"/>
      <c r="R32" s="11"/>
      <c r="T32" s="14"/>
    </row>
    <row r="33" customFormat="false" ht="15.75" hidden="false" customHeight="true" outlineLevel="0" collapsed="false">
      <c r="B33" s="16" t="s">
        <v>22</v>
      </c>
      <c r="C33" s="16"/>
      <c r="D33" s="16"/>
      <c r="E33" s="17" t="n">
        <v>0</v>
      </c>
      <c r="F33" s="18"/>
      <c r="G33" s="17" t="n">
        <v>425</v>
      </c>
      <c r="H33" s="17"/>
      <c r="I33" s="18"/>
      <c r="J33" s="19"/>
      <c r="K33" s="18"/>
      <c r="L33" s="17"/>
      <c r="M33" s="18"/>
      <c r="N33" s="20"/>
      <c r="O33" s="18"/>
      <c r="P33" s="17" t="n">
        <f aca="false">SUM(P9:P31)</f>
        <v>21.3</v>
      </c>
      <c r="Q33" s="18"/>
      <c r="R33" s="17" t="n">
        <f aca="false">G33-P33</f>
        <v>403.7</v>
      </c>
      <c r="S33" s="16"/>
      <c r="T33" s="20" t="n">
        <f aca="false">SUM(T9:T31)</f>
        <v>62</v>
      </c>
    </row>
    <row r="34" customFormat="false" ht="6" hidden="false" customHeight="true" outlineLevel="0" collapsed="false">
      <c r="B34" s="16"/>
      <c r="C34" s="16"/>
      <c r="D34" s="16"/>
      <c r="E34" s="17"/>
      <c r="F34" s="18"/>
      <c r="G34" s="17"/>
      <c r="H34" s="17"/>
      <c r="I34" s="18"/>
      <c r="J34" s="19"/>
      <c r="K34" s="18"/>
      <c r="L34" s="17"/>
      <c r="M34" s="18"/>
      <c r="N34" s="20"/>
      <c r="O34" s="18"/>
      <c r="P34" s="17"/>
      <c r="Q34" s="18"/>
      <c r="R34" s="17"/>
      <c r="S34" s="16"/>
      <c r="T34" s="20"/>
    </row>
    <row r="35" customFormat="false" ht="11.25" hidden="false" customHeight="true" outlineLevel="0" collapsed="false">
      <c r="B35" s="21" t="s">
        <v>23</v>
      </c>
      <c r="C35" s="16"/>
      <c r="D35" s="16"/>
      <c r="E35" s="17" t="n">
        <v>0</v>
      </c>
      <c r="F35" s="18"/>
      <c r="G35" s="17" t="n">
        <v>0</v>
      </c>
      <c r="H35" s="17"/>
      <c r="I35" s="18"/>
      <c r="J35" s="19"/>
      <c r="K35" s="18"/>
      <c r="L35" s="17"/>
      <c r="M35" s="18"/>
      <c r="N35" s="20"/>
      <c r="O35" s="18"/>
      <c r="P35" s="22" t="n">
        <v>1.3</v>
      </c>
      <c r="Q35" s="23"/>
      <c r="R35" s="11" t="n">
        <f aca="false">G35-P35</f>
        <v>-1.3</v>
      </c>
      <c r="S35" s="21"/>
      <c r="T35" s="24" t="n">
        <v>5</v>
      </c>
    </row>
    <row r="36" customFormat="false" ht="6.75" hidden="false" customHeight="true" outlineLevel="0" collapsed="false">
      <c r="B36" s="21"/>
      <c r="C36" s="16"/>
      <c r="D36" s="16"/>
      <c r="E36" s="17"/>
      <c r="F36" s="18"/>
      <c r="G36" s="17"/>
      <c r="H36" s="17"/>
      <c r="I36" s="18"/>
      <c r="J36" s="19"/>
      <c r="K36" s="18"/>
      <c r="L36" s="17"/>
      <c r="M36" s="18"/>
      <c r="N36" s="20"/>
      <c r="O36" s="18"/>
      <c r="P36" s="22"/>
      <c r="Q36" s="23"/>
      <c r="R36" s="22"/>
      <c r="S36" s="21"/>
      <c r="T36" s="24"/>
    </row>
    <row r="37" customFormat="false" ht="11.25" hidden="false" customHeight="true" outlineLevel="0" collapsed="false">
      <c r="B37" s="21" t="s">
        <v>24</v>
      </c>
      <c r="C37" s="16"/>
      <c r="D37" s="16"/>
      <c r="E37" s="17" t="n">
        <v>0</v>
      </c>
      <c r="F37" s="18"/>
      <c r="G37" s="17" t="n">
        <v>0</v>
      </c>
      <c r="H37" s="17"/>
      <c r="I37" s="18"/>
      <c r="J37" s="19"/>
      <c r="K37" s="18"/>
      <c r="L37" s="17"/>
      <c r="M37" s="18"/>
      <c r="N37" s="20"/>
      <c r="O37" s="18"/>
      <c r="P37" s="22" t="n">
        <v>1.2</v>
      </c>
      <c r="Q37" s="23"/>
      <c r="R37" s="11" t="n">
        <f aca="false">G37-P37</f>
        <v>-1.2</v>
      </c>
      <c r="S37" s="21"/>
      <c r="T37" s="24" t="n">
        <v>5</v>
      </c>
    </row>
    <row r="38" customFormat="false" ht="6" hidden="false" customHeight="true" outlineLevel="0" collapsed="false">
      <c r="B38" s="21"/>
      <c r="C38" s="16"/>
      <c r="D38" s="16"/>
      <c r="E38" s="17"/>
      <c r="F38" s="18"/>
      <c r="G38" s="17"/>
      <c r="H38" s="17"/>
      <c r="I38" s="18"/>
      <c r="J38" s="19"/>
      <c r="K38" s="18"/>
      <c r="L38" s="17"/>
      <c r="M38" s="18"/>
      <c r="N38" s="20"/>
      <c r="O38" s="18"/>
      <c r="P38" s="22"/>
      <c r="Q38" s="23"/>
      <c r="R38" s="22"/>
      <c r="S38" s="21"/>
      <c r="T38" s="24"/>
    </row>
    <row r="39" customFormat="false" ht="11.25" hidden="false" customHeight="true" outlineLevel="0" collapsed="false">
      <c r="B39" s="21" t="s">
        <v>25</v>
      </c>
      <c r="C39" s="16"/>
      <c r="D39" s="16"/>
      <c r="E39" s="17" t="n">
        <v>0</v>
      </c>
      <c r="F39" s="18"/>
      <c r="G39" s="17" t="n">
        <v>0</v>
      </c>
      <c r="H39" s="17"/>
      <c r="I39" s="18"/>
      <c r="J39" s="19"/>
      <c r="K39" s="18"/>
      <c r="L39" s="17"/>
      <c r="M39" s="18"/>
      <c r="N39" s="20"/>
      <c r="O39" s="18"/>
      <c r="P39" s="22" t="n">
        <v>1.7</v>
      </c>
      <c r="Q39" s="23"/>
      <c r="R39" s="11" t="n">
        <f aca="false">G39-P39</f>
        <v>-1.7</v>
      </c>
      <c r="S39" s="21"/>
      <c r="T39" s="24" t="n">
        <v>7</v>
      </c>
    </row>
    <row r="40" customFormat="false" ht="6" hidden="false" customHeight="true" outlineLevel="0" collapsed="false">
      <c r="B40" s="21"/>
      <c r="C40" s="16"/>
      <c r="D40" s="16"/>
      <c r="E40" s="17"/>
      <c r="F40" s="18"/>
      <c r="G40" s="17"/>
      <c r="H40" s="17"/>
      <c r="I40" s="18"/>
      <c r="J40" s="19"/>
      <c r="K40" s="18"/>
      <c r="L40" s="17"/>
      <c r="M40" s="18"/>
      <c r="N40" s="20"/>
      <c r="O40" s="18"/>
      <c r="P40" s="22"/>
      <c r="Q40" s="23"/>
      <c r="R40" s="22"/>
      <c r="S40" s="21"/>
      <c r="T40" s="24"/>
    </row>
    <row r="41" customFormat="false" ht="11.25" hidden="false" customHeight="true" outlineLevel="0" collapsed="false">
      <c r="B41" s="21" t="s">
        <v>26</v>
      </c>
      <c r="C41" s="16"/>
      <c r="D41" s="16"/>
      <c r="E41" s="17" t="n">
        <v>0</v>
      </c>
      <c r="F41" s="18"/>
      <c r="G41" s="17" t="n">
        <v>0</v>
      </c>
      <c r="H41" s="17"/>
      <c r="I41" s="18"/>
      <c r="J41" s="19"/>
      <c r="K41" s="18"/>
      <c r="L41" s="17"/>
      <c r="M41" s="18"/>
      <c r="N41" s="20"/>
      <c r="O41" s="18"/>
      <c r="P41" s="22" t="n">
        <v>0.9</v>
      </c>
      <c r="Q41" s="23"/>
      <c r="R41" s="11" t="n">
        <f aca="false">G41-P41</f>
        <v>-0.9</v>
      </c>
      <c r="S41" s="21"/>
      <c r="T41" s="24" t="n">
        <v>4</v>
      </c>
    </row>
    <row r="42" customFormat="false" ht="6" hidden="false" customHeight="true" outlineLevel="0" collapsed="false">
      <c r="B42" s="21"/>
      <c r="C42" s="16"/>
      <c r="D42" s="16"/>
      <c r="E42" s="17"/>
      <c r="F42" s="18"/>
      <c r="G42" s="17"/>
      <c r="H42" s="17"/>
      <c r="I42" s="18"/>
      <c r="J42" s="19"/>
      <c r="K42" s="18"/>
      <c r="L42" s="17"/>
      <c r="M42" s="18"/>
      <c r="N42" s="20"/>
      <c r="O42" s="18"/>
      <c r="P42" s="22"/>
      <c r="Q42" s="23"/>
      <c r="R42" s="22"/>
      <c r="S42" s="21"/>
      <c r="T42" s="24"/>
    </row>
    <row r="43" customFormat="false" ht="11.25" hidden="false" customHeight="true" outlineLevel="0" collapsed="false">
      <c r="B43" s="21" t="s">
        <v>27</v>
      </c>
      <c r="C43" s="16"/>
      <c r="D43" s="16"/>
      <c r="E43" s="17" t="n">
        <v>0</v>
      </c>
      <c r="F43" s="18"/>
      <c r="G43" s="17" t="n">
        <v>0</v>
      </c>
      <c r="H43" s="17"/>
      <c r="I43" s="18"/>
      <c r="J43" s="19"/>
      <c r="K43" s="18"/>
      <c r="L43" s="17"/>
      <c r="M43" s="18"/>
      <c r="N43" s="20"/>
      <c r="O43" s="18"/>
      <c r="P43" s="22" t="n">
        <v>1.3</v>
      </c>
      <c r="Q43" s="23"/>
      <c r="R43" s="11" t="n">
        <f aca="false">G43-P43</f>
        <v>-1.3</v>
      </c>
      <c r="S43" s="21"/>
      <c r="T43" s="24" t="n">
        <v>6</v>
      </c>
    </row>
    <row r="44" customFormat="false" ht="6" hidden="false" customHeight="true" outlineLevel="0" collapsed="false">
      <c r="B44" s="21"/>
      <c r="C44" s="16"/>
      <c r="D44" s="16"/>
      <c r="E44" s="17"/>
      <c r="F44" s="18"/>
      <c r="G44" s="17"/>
      <c r="H44" s="17"/>
      <c r="I44" s="18"/>
      <c r="J44" s="19"/>
      <c r="K44" s="18"/>
      <c r="L44" s="17"/>
      <c r="M44" s="18"/>
      <c r="N44" s="20"/>
      <c r="O44" s="18"/>
      <c r="P44" s="22"/>
      <c r="Q44" s="23"/>
      <c r="R44" s="22"/>
      <c r="S44" s="21"/>
      <c r="T44" s="24"/>
    </row>
    <row r="45" customFormat="false" ht="11.25" hidden="false" customHeight="true" outlineLevel="0" collapsed="false">
      <c r="B45" s="21" t="s">
        <v>28</v>
      </c>
      <c r="C45" s="16"/>
      <c r="D45" s="16"/>
      <c r="E45" s="17" t="n">
        <v>0</v>
      </c>
      <c r="F45" s="18"/>
      <c r="G45" s="17" t="n">
        <v>0</v>
      </c>
      <c r="H45" s="17"/>
      <c r="I45" s="18"/>
      <c r="J45" s="19"/>
      <c r="K45" s="18"/>
      <c r="L45" s="17"/>
      <c r="M45" s="18"/>
      <c r="N45" s="20"/>
      <c r="O45" s="18"/>
      <c r="P45" s="22" t="n">
        <v>1</v>
      </c>
      <c r="Q45" s="23"/>
      <c r="R45" s="11" t="n">
        <f aca="false">G45-P45</f>
        <v>-1</v>
      </c>
      <c r="S45" s="21"/>
      <c r="T45" s="24" t="n">
        <v>4</v>
      </c>
    </row>
    <row r="46" customFormat="false" ht="6" hidden="false" customHeight="true" outlineLevel="0" collapsed="false">
      <c r="B46" s="21"/>
      <c r="C46" s="16"/>
      <c r="D46" s="16"/>
      <c r="E46" s="17"/>
      <c r="F46" s="18"/>
      <c r="G46" s="17"/>
      <c r="H46" s="17"/>
      <c r="I46" s="18"/>
      <c r="J46" s="19"/>
      <c r="K46" s="18"/>
      <c r="L46" s="17"/>
      <c r="M46" s="18"/>
      <c r="N46" s="20"/>
      <c r="O46" s="18"/>
      <c r="P46" s="22"/>
      <c r="Q46" s="23"/>
      <c r="R46" s="11"/>
      <c r="S46" s="21"/>
      <c r="T46" s="24"/>
    </row>
    <row r="47" customFormat="false" ht="12.75" hidden="false" customHeight="false" outlineLevel="0" collapsed="false">
      <c r="B47" s="21" t="s">
        <v>29</v>
      </c>
      <c r="E47" s="11" t="n">
        <v>0</v>
      </c>
      <c r="F47" s="12"/>
      <c r="G47" s="11" t="n">
        <v>0</v>
      </c>
      <c r="H47" s="11"/>
      <c r="I47" s="12"/>
      <c r="J47" s="15"/>
      <c r="K47" s="12"/>
      <c r="L47" s="11"/>
      <c r="M47" s="12"/>
      <c r="N47" s="14"/>
      <c r="O47" s="12"/>
      <c r="P47" s="11" t="n">
        <v>4.3</v>
      </c>
      <c r="Q47" s="12"/>
      <c r="R47" s="11" t="n">
        <f aca="false">G47-P47</f>
        <v>-4.3</v>
      </c>
      <c r="T47" s="14" t="n">
        <v>16</v>
      </c>
    </row>
    <row r="48" customFormat="false" ht="6.75" hidden="false" customHeight="true" outlineLevel="0" collapsed="false">
      <c r="E48" s="11"/>
      <c r="F48" s="12"/>
      <c r="G48" s="11"/>
      <c r="H48" s="11"/>
      <c r="I48" s="12"/>
      <c r="J48" s="15"/>
      <c r="K48" s="12"/>
      <c r="L48" s="11"/>
      <c r="M48" s="12"/>
      <c r="N48" s="14"/>
      <c r="O48" s="12"/>
      <c r="P48" s="11"/>
      <c r="Q48" s="12"/>
      <c r="R48" s="11"/>
      <c r="T48" s="14"/>
    </row>
    <row r="49" customFormat="false" ht="12.75" hidden="false" customHeight="false" outlineLevel="0" collapsed="false">
      <c r="B49" s="16" t="s">
        <v>30</v>
      </c>
      <c r="E49" s="11" t="n">
        <v>0</v>
      </c>
      <c r="F49" s="12"/>
      <c r="G49" s="17" t="n">
        <v>250</v>
      </c>
      <c r="H49" s="17" t="n">
        <v>29.9</v>
      </c>
      <c r="I49" s="18"/>
      <c r="J49" s="19" t="n">
        <v>147</v>
      </c>
      <c r="K49" s="18"/>
      <c r="L49" s="17" t="n">
        <f aca="false">32.8+6.4+0.5</f>
        <v>39.7</v>
      </c>
      <c r="M49" s="18"/>
      <c r="N49" s="20" t="n">
        <f aca="false">216-29</f>
        <v>187</v>
      </c>
      <c r="O49" s="18"/>
      <c r="P49" s="17" t="n">
        <f aca="false">SUM(P35:P47)</f>
        <v>11.7</v>
      </c>
      <c r="Q49" s="18"/>
      <c r="R49" s="17" t="n">
        <f aca="false">G49-P49</f>
        <v>238.3</v>
      </c>
      <c r="S49" s="16"/>
      <c r="T49" s="20" t="n">
        <f aca="false">SUM(T35:T47)</f>
        <v>47</v>
      </c>
    </row>
    <row r="50" customFormat="false" ht="7.5" hidden="false" customHeight="true" outlineLevel="0" collapsed="false">
      <c r="E50" s="11"/>
      <c r="F50" s="12"/>
      <c r="G50" s="11"/>
      <c r="H50" s="11"/>
      <c r="I50" s="12"/>
      <c r="J50" s="15"/>
      <c r="K50" s="12"/>
      <c r="L50" s="11"/>
      <c r="M50" s="12"/>
      <c r="N50" s="14"/>
      <c r="O50" s="12"/>
      <c r="P50" s="11"/>
      <c r="Q50" s="12"/>
      <c r="R50" s="11"/>
      <c r="T50" s="14"/>
    </row>
    <row r="51" customFormat="false" ht="12.75" hidden="false" customHeight="false" outlineLevel="0" collapsed="false">
      <c r="B51" s="0" t="s">
        <v>31</v>
      </c>
      <c r="E51" s="11" t="n">
        <v>0</v>
      </c>
      <c r="F51" s="12"/>
      <c r="G51" s="11" t="n">
        <v>150</v>
      </c>
      <c r="H51" s="11" t="n">
        <v>18.1</v>
      </c>
      <c r="I51" s="12"/>
      <c r="J51" s="13" t="n">
        <v>67</v>
      </c>
      <c r="K51" s="12"/>
      <c r="L51" s="11" t="n">
        <f aca="false">27.3+6.5</f>
        <v>33.8</v>
      </c>
      <c r="M51" s="12"/>
      <c r="N51" s="14" t="n">
        <f aca="false">106-10</f>
        <v>96</v>
      </c>
      <c r="O51" s="12"/>
      <c r="P51" s="11" t="n">
        <v>4.2</v>
      </c>
      <c r="Q51" s="12"/>
      <c r="R51" s="11" t="n">
        <f aca="false">G51-P51</f>
        <v>145.8</v>
      </c>
      <c r="T51" s="14" t="n">
        <v>16</v>
      </c>
    </row>
    <row r="52" customFormat="false" ht="7.5" hidden="false" customHeight="true" outlineLevel="0" collapsed="false">
      <c r="E52" s="11"/>
      <c r="F52" s="12"/>
      <c r="G52" s="11"/>
      <c r="H52" s="11"/>
      <c r="I52" s="12"/>
      <c r="J52" s="13"/>
      <c r="K52" s="12"/>
      <c r="L52" s="11"/>
      <c r="M52" s="12"/>
      <c r="N52" s="14"/>
      <c r="O52" s="12"/>
      <c r="P52" s="11"/>
      <c r="Q52" s="12"/>
      <c r="R52" s="11"/>
      <c r="T52" s="14"/>
    </row>
    <row r="53" customFormat="false" ht="12.75" hidden="false" customHeight="false" outlineLevel="0" collapsed="false">
      <c r="B53" s="0" t="s">
        <v>32</v>
      </c>
      <c r="E53" s="11" t="n">
        <v>0</v>
      </c>
      <c r="F53" s="12"/>
      <c r="G53" s="11" t="n">
        <v>0</v>
      </c>
      <c r="H53" s="11"/>
      <c r="I53" s="12"/>
      <c r="J53" s="15"/>
      <c r="K53" s="12"/>
      <c r="L53" s="11"/>
      <c r="M53" s="12"/>
      <c r="N53" s="14"/>
      <c r="O53" s="12"/>
      <c r="P53" s="11" t="n">
        <v>4.1</v>
      </c>
      <c r="Q53" s="12"/>
      <c r="R53" s="11" t="n">
        <f aca="false">G53-P53</f>
        <v>-4.1</v>
      </c>
      <c r="T53" s="14" t="n">
        <v>12</v>
      </c>
    </row>
    <row r="54" customFormat="false" ht="7.5" hidden="false" customHeight="true" outlineLevel="0" collapsed="false">
      <c r="E54" s="11"/>
      <c r="F54" s="12"/>
      <c r="G54" s="11"/>
      <c r="H54" s="11"/>
      <c r="I54" s="12"/>
      <c r="J54" s="15"/>
      <c r="K54" s="12"/>
      <c r="L54" s="11"/>
      <c r="M54" s="12"/>
      <c r="N54" s="14"/>
      <c r="O54" s="12"/>
      <c r="P54" s="11"/>
      <c r="Q54" s="12"/>
      <c r="R54" s="11"/>
      <c r="T54" s="14"/>
    </row>
    <row r="55" customFormat="false" ht="12.75" hidden="false" customHeight="true" outlineLevel="0" collapsed="false">
      <c r="A55" s="16"/>
      <c r="B55" s="16" t="s">
        <v>33</v>
      </c>
      <c r="C55" s="16"/>
      <c r="D55" s="16"/>
      <c r="E55" s="17" t="n">
        <f aca="false">SUM(E49:E53)</f>
        <v>0</v>
      </c>
      <c r="F55" s="18"/>
      <c r="G55" s="17" t="n">
        <f aca="false">SUM(G51:G53)</f>
        <v>150</v>
      </c>
      <c r="H55" s="17"/>
      <c r="I55" s="18"/>
      <c r="J55" s="25"/>
      <c r="K55" s="18"/>
      <c r="L55" s="17"/>
      <c r="M55" s="18"/>
      <c r="N55" s="20"/>
      <c r="O55" s="18"/>
      <c r="P55" s="17" t="n">
        <f aca="false">SUM(P51:P53)</f>
        <v>8.3</v>
      </c>
      <c r="Q55" s="18"/>
      <c r="R55" s="17" t="n">
        <f aca="false">SUM(R51:R53)</f>
        <v>141.7</v>
      </c>
      <c r="S55" s="16"/>
      <c r="T55" s="20" t="n">
        <f aca="false">SUM(T51:T53)</f>
        <v>28</v>
      </c>
      <c r="U55" s="16"/>
    </row>
    <row r="56" customFormat="false" ht="7.5" hidden="false" customHeight="true" outlineLevel="0" collapsed="false">
      <c r="E56" s="11"/>
      <c r="F56" s="12"/>
      <c r="G56" s="11"/>
      <c r="H56" s="11"/>
      <c r="I56" s="12"/>
      <c r="J56" s="15"/>
      <c r="K56" s="12"/>
      <c r="L56" s="11"/>
      <c r="M56" s="12"/>
      <c r="N56" s="14"/>
      <c r="O56" s="12"/>
      <c r="P56" s="11"/>
      <c r="Q56" s="12"/>
      <c r="R56" s="11"/>
      <c r="T56" s="14"/>
    </row>
    <row r="57" customFormat="false" ht="12.75" hidden="false" customHeight="false" outlineLevel="0" collapsed="false">
      <c r="B57" s="0" t="s">
        <v>34</v>
      </c>
      <c r="E57" s="11" t="n">
        <v>0</v>
      </c>
      <c r="F57" s="12"/>
      <c r="G57" s="11" t="n">
        <v>25</v>
      </c>
      <c r="H57" s="11" t="n">
        <v>8</v>
      </c>
      <c r="I57" s="12"/>
      <c r="J57" s="13" t="n">
        <v>47</v>
      </c>
      <c r="K57" s="12"/>
      <c r="L57" s="11" t="n">
        <v>9</v>
      </c>
      <c r="M57" s="12"/>
      <c r="N57" s="14" t="n">
        <v>49</v>
      </c>
      <c r="O57" s="12"/>
      <c r="P57" s="11" t="n">
        <v>1.1</v>
      </c>
      <c r="Q57" s="12"/>
      <c r="R57" s="11" t="n">
        <f aca="false">G57-P57</f>
        <v>23.9</v>
      </c>
      <c r="T57" s="14" t="n">
        <v>5</v>
      </c>
      <c r="V57" s="26"/>
    </row>
    <row r="58" customFormat="false" ht="12.75" hidden="true" customHeight="false" outlineLevel="0" collapsed="false">
      <c r="B58" s="0" t="s">
        <v>35</v>
      </c>
      <c r="E58" s="11"/>
      <c r="F58" s="12"/>
      <c r="G58" s="11"/>
      <c r="H58" s="11"/>
      <c r="I58" s="12"/>
      <c r="J58" s="15"/>
      <c r="K58" s="12"/>
      <c r="L58" s="11"/>
      <c r="M58" s="12"/>
      <c r="N58" s="14"/>
      <c r="O58" s="12"/>
      <c r="P58" s="11"/>
      <c r="Q58" s="12"/>
      <c r="R58" s="11"/>
      <c r="T58" s="14"/>
      <c r="V58" s="26"/>
    </row>
    <row r="59" customFormat="false" ht="12.75" hidden="true" customHeight="false" outlineLevel="0" collapsed="false">
      <c r="B59" s="0" t="s">
        <v>35</v>
      </c>
      <c r="E59" s="11"/>
      <c r="F59" s="12"/>
      <c r="G59" s="11" t="n">
        <v>0</v>
      </c>
      <c r="H59" s="11" t="n">
        <v>0</v>
      </c>
      <c r="I59" s="12"/>
      <c r="J59" s="13" t="n">
        <v>0</v>
      </c>
      <c r="K59" s="12"/>
      <c r="L59" s="11" t="n">
        <v>0</v>
      </c>
      <c r="M59" s="12"/>
      <c r="N59" s="14" t="n">
        <v>0</v>
      </c>
      <c r="O59" s="12"/>
      <c r="P59" s="11" t="n">
        <v>0</v>
      </c>
      <c r="Q59" s="12"/>
      <c r="R59" s="11" t="n">
        <f aca="false">G59-P59</f>
        <v>0</v>
      </c>
      <c r="T59" s="14" t="n">
        <v>0</v>
      </c>
      <c r="V59" s="26"/>
    </row>
    <row r="60" customFormat="false" ht="7.5" hidden="false" customHeight="true" outlineLevel="0" collapsed="false">
      <c r="E60" s="11"/>
      <c r="F60" s="12"/>
      <c r="G60" s="11"/>
      <c r="H60" s="11"/>
      <c r="I60" s="12"/>
      <c r="J60" s="13"/>
      <c r="K60" s="12"/>
      <c r="L60" s="11"/>
      <c r="M60" s="12"/>
      <c r="N60" s="14"/>
      <c r="O60" s="12"/>
      <c r="P60" s="11"/>
      <c r="Q60" s="12"/>
      <c r="R60" s="11"/>
      <c r="T60" s="14"/>
      <c r="V60" s="26"/>
    </row>
    <row r="61" customFormat="false" ht="12.75" hidden="false" customHeight="false" outlineLevel="0" collapsed="false">
      <c r="B61" s="0" t="s">
        <v>36</v>
      </c>
      <c r="E61" s="11" t="n">
        <v>0</v>
      </c>
      <c r="F61" s="12"/>
      <c r="G61" s="11" t="n">
        <v>25</v>
      </c>
      <c r="H61" s="11"/>
      <c r="I61" s="12"/>
      <c r="J61" s="15"/>
      <c r="K61" s="12"/>
      <c r="L61" s="11"/>
      <c r="M61" s="12"/>
      <c r="N61" s="14"/>
      <c r="O61" s="12"/>
      <c r="P61" s="11" t="n">
        <v>2.6</v>
      </c>
      <c r="Q61" s="12"/>
      <c r="R61" s="11" t="n">
        <f aca="false">G61-P61</f>
        <v>22.4</v>
      </c>
      <c r="T61" s="14" t="n">
        <v>11</v>
      </c>
      <c r="V61" s="26"/>
    </row>
    <row r="62" customFormat="false" ht="12.75" hidden="true" customHeight="false" outlineLevel="0" collapsed="false">
      <c r="B62" s="0" t="s">
        <v>37</v>
      </c>
      <c r="E62" s="11"/>
      <c r="F62" s="12"/>
      <c r="G62" s="11"/>
      <c r="H62" s="11" t="n">
        <v>162</v>
      </c>
      <c r="I62" s="12"/>
      <c r="J62" s="13" t="n">
        <v>151</v>
      </c>
      <c r="K62" s="12"/>
      <c r="L62" s="11" t="n">
        <v>140</v>
      </c>
      <c r="M62" s="12"/>
      <c r="N62" s="13" t="n">
        <f aca="false">25+17</f>
        <v>42</v>
      </c>
      <c r="O62" s="12"/>
      <c r="P62" s="11" t="n">
        <v>0</v>
      </c>
      <c r="Q62" s="12"/>
      <c r="R62" s="11"/>
      <c r="T62" s="15" t="n">
        <v>0</v>
      </c>
      <c r="V62" s="26"/>
    </row>
    <row r="63" customFormat="false" ht="12.75" hidden="true" customHeight="false" outlineLevel="0" collapsed="false">
      <c r="E63" s="11"/>
      <c r="F63" s="12"/>
      <c r="G63" s="11"/>
      <c r="H63" s="11"/>
      <c r="I63" s="12"/>
      <c r="J63" s="15" t="s">
        <v>10</v>
      </c>
      <c r="K63" s="12"/>
      <c r="L63" s="11"/>
      <c r="M63" s="12"/>
      <c r="N63" s="14" t="s">
        <v>10</v>
      </c>
      <c r="O63" s="12"/>
      <c r="P63" s="11"/>
      <c r="Q63" s="12"/>
      <c r="R63" s="11"/>
      <c r="T63" s="14" t="s">
        <v>10</v>
      </c>
      <c r="V63" s="26"/>
    </row>
    <row r="64" customFormat="false" ht="12.75" hidden="true" customHeight="false" outlineLevel="0" collapsed="false">
      <c r="B64" s="0" t="s">
        <v>38</v>
      </c>
      <c r="E64" s="11"/>
      <c r="F64" s="12"/>
      <c r="G64" s="11"/>
      <c r="H64" s="11" t="n">
        <v>31</v>
      </c>
      <c r="I64" s="12"/>
      <c r="J64" s="13" t="n">
        <v>107</v>
      </c>
      <c r="K64" s="12"/>
      <c r="L64" s="11" t="n">
        <v>7</v>
      </c>
      <c r="M64" s="12"/>
      <c r="N64" s="13" t="n">
        <v>36</v>
      </c>
      <c r="O64" s="12"/>
      <c r="P64" s="11" t="n">
        <v>0</v>
      </c>
      <c r="Q64" s="12"/>
      <c r="R64" s="11"/>
      <c r="T64" s="15" t="n">
        <v>0</v>
      </c>
      <c r="V64" s="26"/>
    </row>
    <row r="65" customFormat="false" ht="12.75" hidden="true" customHeight="false" outlineLevel="0" collapsed="false">
      <c r="E65" s="11"/>
      <c r="F65" s="12"/>
      <c r="G65" s="11"/>
      <c r="H65" s="11"/>
      <c r="I65" s="12"/>
      <c r="J65" s="15"/>
      <c r="K65" s="12"/>
      <c r="L65" s="11"/>
      <c r="M65" s="12"/>
      <c r="N65" s="14"/>
      <c r="O65" s="12"/>
      <c r="P65" s="11"/>
      <c r="Q65" s="12"/>
      <c r="R65" s="11"/>
      <c r="T65" s="14"/>
      <c r="V65" s="26"/>
    </row>
    <row r="66" customFormat="false" ht="7.5" hidden="false" customHeight="true" outlineLevel="0" collapsed="false">
      <c r="E66" s="11"/>
      <c r="F66" s="12"/>
      <c r="G66" s="11"/>
      <c r="H66" s="11"/>
      <c r="I66" s="12"/>
      <c r="J66" s="15"/>
      <c r="K66" s="12"/>
      <c r="L66" s="11"/>
      <c r="M66" s="12"/>
      <c r="N66" s="14"/>
      <c r="O66" s="12"/>
      <c r="P66" s="11"/>
      <c r="Q66" s="12"/>
      <c r="R66" s="11"/>
      <c r="T66" s="14"/>
      <c r="V66" s="26"/>
    </row>
    <row r="67" customFormat="false" ht="12.75" hidden="false" customHeight="false" outlineLevel="0" collapsed="false">
      <c r="A67" s="16"/>
      <c r="B67" s="16" t="s">
        <v>39</v>
      </c>
      <c r="C67" s="16"/>
      <c r="D67" s="16"/>
      <c r="E67" s="17" t="n">
        <f aca="false">SUM(E57:E61)</f>
        <v>0</v>
      </c>
      <c r="F67" s="18"/>
      <c r="G67" s="17" t="n">
        <f aca="false">SUM(G57:G61)</f>
        <v>50</v>
      </c>
      <c r="H67" s="17"/>
      <c r="I67" s="18"/>
      <c r="J67" s="25"/>
      <c r="K67" s="18"/>
      <c r="L67" s="17"/>
      <c r="M67" s="18"/>
      <c r="N67" s="20"/>
      <c r="O67" s="18"/>
      <c r="P67" s="17" t="n">
        <f aca="false">SUM(P57:P61)</f>
        <v>3.7</v>
      </c>
      <c r="Q67" s="18"/>
      <c r="R67" s="17" t="n">
        <f aca="false">SUM(R57:R61)</f>
        <v>46.3</v>
      </c>
      <c r="S67" s="16"/>
      <c r="T67" s="20" t="n">
        <f aca="false">SUM(T57:T61)</f>
        <v>16</v>
      </c>
      <c r="U67" s="16"/>
      <c r="V67" s="27"/>
    </row>
    <row r="68" customFormat="false" ht="7.5" hidden="false" customHeight="true" outlineLevel="0" collapsed="false">
      <c r="E68" s="11"/>
      <c r="F68" s="12"/>
      <c r="G68" s="11"/>
      <c r="H68" s="11"/>
      <c r="I68" s="12"/>
      <c r="J68" s="15"/>
      <c r="K68" s="12"/>
      <c r="L68" s="11"/>
      <c r="M68" s="12"/>
      <c r="N68" s="14"/>
      <c r="O68" s="12"/>
      <c r="P68" s="11"/>
      <c r="Q68" s="12"/>
      <c r="R68" s="11"/>
      <c r="T68" s="14"/>
      <c r="V68" s="26"/>
    </row>
    <row r="69" customFormat="false" ht="12.75" hidden="false" customHeight="false" outlineLevel="0" collapsed="false">
      <c r="A69" s="16"/>
      <c r="B69" s="16" t="s">
        <v>40</v>
      </c>
      <c r="C69" s="16"/>
      <c r="D69" s="16"/>
      <c r="E69" s="17" t="n">
        <v>0</v>
      </c>
      <c r="F69" s="16"/>
      <c r="G69" s="17" t="n">
        <v>0</v>
      </c>
      <c r="H69" s="20" t="n">
        <v>34.3</v>
      </c>
      <c r="I69" s="27"/>
      <c r="J69" s="19" t="n">
        <v>65</v>
      </c>
      <c r="K69" s="27"/>
      <c r="L69" s="20" t="n">
        <v>257.1</v>
      </c>
      <c r="M69" s="16"/>
      <c r="N69" s="20" t="n">
        <v>5</v>
      </c>
      <c r="O69" s="16"/>
      <c r="P69" s="17" t="n">
        <v>2.1</v>
      </c>
      <c r="Q69" s="16"/>
      <c r="R69" s="17" t="n">
        <f aca="false">G69-P69</f>
        <v>-2.1</v>
      </c>
      <c r="S69" s="16"/>
      <c r="T69" s="20" t="n">
        <v>3</v>
      </c>
      <c r="U69" s="16"/>
    </row>
    <row r="70" customFormat="false" ht="12.75" hidden="false" customHeight="false" outlineLevel="0" collapsed="false">
      <c r="E70" s="28"/>
      <c r="G70" s="28"/>
      <c r="H70" s="14"/>
      <c r="I70" s="26"/>
      <c r="J70" s="28"/>
      <c r="K70" s="26"/>
      <c r="L70" s="14"/>
      <c r="N70" s="28"/>
      <c r="P70" s="29"/>
      <c r="R70" s="28"/>
      <c r="T70" s="28"/>
    </row>
    <row r="71" customFormat="false" ht="12.75" hidden="false" customHeight="false" outlineLevel="0" collapsed="false">
      <c r="D71" s="16" t="s">
        <v>41</v>
      </c>
      <c r="E71" s="30" t="n">
        <v>60</v>
      </c>
      <c r="G71" s="31" t="n">
        <f aca="false">SUM(G9:G69)-G55-G67</f>
        <v>875</v>
      </c>
      <c r="H71" s="31" t="n">
        <f aca="false">+H9+H49+H51+H57+H59+H69+H62+H64</f>
        <v>354.9</v>
      </c>
      <c r="I71" s="32"/>
      <c r="J71" s="33" t="n">
        <f aca="false">+J9+J49+J51+J57+J59+J62+J64+J69</f>
        <v>747</v>
      </c>
      <c r="K71" s="32"/>
      <c r="L71" s="31" t="n">
        <f aca="false">+L9+L49+L51+L57+L59+L69+L62+L64</f>
        <v>524.8</v>
      </c>
      <c r="N71" s="33" t="n">
        <f aca="false">+N9+N49+N51+N57+N59+N69+N62+N64</f>
        <v>558</v>
      </c>
      <c r="P71" s="31" t="n">
        <f aca="false">SUM(P9:P69)-P33-P55-P67-P49</f>
        <v>47.1</v>
      </c>
      <c r="R71" s="31" t="n">
        <f aca="false">+R33+R49+R55+R67+R69</f>
        <v>827.9</v>
      </c>
      <c r="T71" s="33" t="n">
        <f aca="false">+T33+T49+T55+T67+T69</f>
        <v>156</v>
      </c>
    </row>
    <row r="72" customFormat="false" ht="12.75" hidden="false" customHeight="false" outlineLevel="0" collapsed="false">
      <c r="H72" s="14"/>
      <c r="I72" s="26"/>
      <c r="J72" s="34"/>
      <c r="L72" s="14"/>
      <c r="N72" s="34"/>
      <c r="P72" s="11"/>
      <c r="R72" s="34"/>
      <c r="T72" s="34"/>
    </row>
    <row r="73" customFormat="false" ht="12.75" hidden="false" customHeight="false" outlineLevel="0" collapsed="false">
      <c r="B73" s="0" t="s">
        <v>42</v>
      </c>
      <c r="H73" s="14"/>
      <c r="I73" s="26"/>
      <c r="J73" s="14"/>
      <c r="L73" s="14"/>
      <c r="N73" s="14"/>
      <c r="P73" s="11" t="n">
        <f aca="false">2.9+1.9+1.1+1.3</f>
        <v>7.2</v>
      </c>
      <c r="R73" s="35" t="n">
        <f aca="false">G73-P73</f>
        <v>-7.2</v>
      </c>
      <c r="T73" s="14" t="n">
        <f aca="false">49+1</f>
        <v>50</v>
      </c>
    </row>
    <row r="74" customFormat="false" ht="12.75" hidden="false" customHeight="false" outlineLevel="0" collapsed="false">
      <c r="H74" s="14"/>
      <c r="I74" s="26"/>
      <c r="J74" s="14"/>
      <c r="L74" s="14"/>
      <c r="N74" s="14"/>
      <c r="P74" s="11"/>
      <c r="R74" s="14"/>
      <c r="T74" s="14"/>
    </row>
    <row r="75" customFormat="false" ht="12.75" hidden="false" customHeight="false" outlineLevel="0" collapsed="false">
      <c r="B75" s="0" t="s">
        <v>43</v>
      </c>
      <c r="H75" s="14"/>
      <c r="I75" s="26"/>
      <c r="J75" s="14"/>
      <c r="L75" s="14"/>
      <c r="N75" s="14"/>
      <c r="P75" s="11" t="n">
        <f aca="false">0.4+1.1+0.2+0.6</f>
        <v>2.3</v>
      </c>
      <c r="R75" s="35" t="n">
        <f aca="false">G75-P75</f>
        <v>-2.3</v>
      </c>
      <c r="T75" s="14" t="n">
        <f aca="false">12+2+6+3</f>
        <v>23</v>
      </c>
    </row>
    <row r="76" customFormat="false" ht="12.75" hidden="false" customHeight="false" outlineLevel="0" collapsed="false">
      <c r="H76" s="14"/>
      <c r="I76" s="26"/>
      <c r="J76" s="14"/>
      <c r="L76" s="14"/>
      <c r="N76" s="14"/>
      <c r="P76" s="11"/>
      <c r="R76" s="35"/>
      <c r="T76" s="14"/>
    </row>
    <row r="77" customFormat="false" ht="12.75" hidden="false" customHeight="false" outlineLevel="0" collapsed="false">
      <c r="B77" s="0" t="s">
        <v>44</v>
      </c>
      <c r="H77" s="14" t="n">
        <v>11.4</v>
      </c>
      <c r="I77" s="26"/>
      <c r="J77" s="15" t="s">
        <v>10</v>
      </c>
      <c r="L77" s="14" t="n">
        <v>9.5</v>
      </c>
      <c r="M77" s="0" t="s">
        <v>10</v>
      </c>
      <c r="N77" s="13"/>
      <c r="P77" s="11" t="n">
        <v>7.7</v>
      </c>
      <c r="R77" s="35" t="n">
        <f aca="false">G77-P77</f>
        <v>-7.7</v>
      </c>
      <c r="T77" s="14" t="n">
        <v>10</v>
      </c>
    </row>
    <row r="78" customFormat="false" ht="12.75" hidden="false" customHeight="false" outlineLevel="0" collapsed="false">
      <c r="H78" s="14"/>
      <c r="I78" s="26"/>
      <c r="J78" s="14"/>
      <c r="L78" s="14"/>
      <c r="N78" s="14"/>
      <c r="P78" s="11"/>
      <c r="R78" s="35"/>
      <c r="T78" s="14"/>
    </row>
    <row r="79" customFormat="false" ht="12.75" hidden="false" customHeight="false" outlineLevel="0" collapsed="false">
      <c r="B79" s="0" t="s">
        <v>45</v>
      </c>
      <c r="H79" s="14"/>
      <c r="I79" s="26"/>
      <c r="J79" s="14"/>
      <c r="L79" s="14"/>
      <c r="N79" s="14"/>
      <c r="P79" s="11" t="n">
        <v>8.1</v>
      </c>
      <c r="R79" s="35" t="n">
        <f aca="false">G79-P79</f>
        <v>-8.1</v>
      </c>
      <c r="T79" s="14" t="n">
        <v>33</v>
      </c>
    </row>
    <row r="80" customFormat="false" ht="12.75" hidden="false" customHeight="false" outlineLevel="0" collapsed="false">
      <c r="H80" s="14"/>
      <c r="I80" s="26"/>
      <c r="J80" s="14"/>
      <c r="L80" s="14"/>
      <c r="N80" s="14"/>
      <c r="P80" s="11"/>
      <c r="R80" s="35"/>
      <c r="T80" s="14"/>
    </row>
    <row r="81" customFormat="false" ht="12.75" hidden="false" customHeight="false" outlineLevel="0" collapsed="false">
      <c r="B81" s="0" t="s">
        <v>46</v>
      </c>
      <c r="H81" s="14"/>
      <c r="I81" s="26"/>
      <c r="J81" s="14"/>
      <c r="L81" s="14"/>
      <c r="N81" s="14"/>
      <c r="P81" s="11" t="n">
        <v>1.1</v>
      </c>
      <c r="R81" s="35" t="n">
        <f aca="false">G81-P81</f>
        <v>-1.1</v>
      </c>
      <c r="T81" s="14" t="n">
        <v>5</v>
      </c>
    </row>
    <row r="82" customFormat="false" ht="12.75" hidden="false" customHeight="false" outlineLevel="0" collapsed="false">
      <c r="H82" s="14"/>
      <c r="I82" s="26"/>
      <c r="J82" s="14"/>
      <c r="L82" s="14"/>
      <c r="N82" s="14"/>
      <c r="P82" s="11"/>
      <c r="R82" s="35"/>
      <c r="T82" s="14"/>
    </row>
    <row r="83" customFormat="false" ht="12.75" hidden="false" customHeight="false" outlineLevel="0" collapsed="false">
      <c r="B83" s="0" t="s">
        <v>47</v>
      </c>
      <c r="H83" s="14"/>
      <c r="I83" s="26"/>
      <c r="J83" s="14"/>
      <c r="L83" s="14"/>
      <c r="N83" s="14"/>
      <c r="P83" s="11" t="n">
        <v>1.4</v>
      </c>
      <c r="R83" s="35" t="n">
        <f aca="false">G83-P83</f>
        <v>-1.4</v>
      </c>
      <c r="T83" s="14" t="n">
        <v>5</v>
      </c>
    </row>
    <row r="84" customFormat="false" ht="12.75" hidden="false" customHeight="false" outlineLevel="0" collapsed="false">
      <c r="H84" s="14"/>
      <c r="I84" s="26"/>
      <c r="J84" s="14"/>
      <c r="L84" s="14"/>
      <c r="N84" s="14"/>
      <c r="P84" s="11"/>
      <c r="R84" s="35"/>
      <c r="T84" s="14"/>
    </row>
    <row r="85" customFormat="false" ht="12.75" hidden="false" customHeight="false" outlineLevel="0" collapsed="false">
      <c r="B85" s="0" t="s">
        <v>48</v>
      </c>
      <c r="H85" s="14"/>
      <c r="I85" s="26"/>
      <c r="J85" s="15" t="s">
        <v>10</v>
      </c>
      <c r="L85" s="14"/>
      <c r="M85" s="0" t="s">
        <v>10</v>
      </c>
      <c r="N85" s="14"/>
      <c r="P85" s="11"/>
      <c r="R85" s="35"/>
      <c r="T85" s="14"/>
    </row>
    <row r="86" customFormat="false" ht="12.75" hidden="false" customHeight="true" outlineLevel="0" collapsed="false">
      <c r="C86" s="0" t="s">
        <v>49</v>
      </c>
      <c r="H86" s="14" t="n">
        <v>10.2</v>
      </c>
      <c r="I86" s="26"/>
      <c r="J86" s="13" t="s">
        <v>10</v>
      </c>
      <c r="L86" s="36" t="n">
        <v>7.6</v>
      </c>
      <c r="N86" s="11"/>
      <c r="P86" s="11" t="n">
        <v>4.8</v>
      </c>
      <c r="R86" s="35" t="n">
        <f aca="false">G86-P86</f>
        <v>-4.8</v>
      </c>
      <c r="T86" s="14" t="n">
        <v>39</v>
      </c>
      <c r="U86" s="0" t="n">
        <v>5</v>
      </c>
      <c r="V86" s="0" t="n">
        <v>0.5</v>
      </c>
    </row>
    <row r="87" customFormat="false" ht="12.75" hidden="false" customHeight="false" outlineLevel="0" collapsed="false">
      <c r="C87" s="0" t="s">
        <v>50</v>
      </c>
      <c r="H87" s="14"/>
      <c r="I87" s="26"/>
      <c r="J87" s="13"/>
      <c r="L87" s="36"/>
      <c r="N87" s="11"/>
      <c r="P87" s="11" t="n">
        <v>0.9</v>
      </c>
      <c r="R87" s="35" t="n">
        <f aca="false">G87-P87</f>
        <v>-0.9</v>
      </c>
      <c r="T87" s="14" t="n">
        <v>7</v>
      </c>
    </row>
    <row r="88" customFormat="false" ht="12.75" hidden="false" customHeight="false" outlineLevel="0" collapsed="false">
      <c r="C88" s="0" t="s">
        <v>51</v>
      </c>
      <c r="H88" s="14" t="n">
        <v>2.7</v>
      </c>
      <c r="I88" s="26"/>
      <c r="J88" s="15" t="s">
        <v>10</v>
      </c>
      <c r="L88" s="14" t="n">
        <v>2.1</v>
      </c>
      <c r="M88" s="37"/>
      <c r="N88" s="11"/>
      <c r="O88" s="37"/>
      <c r="P88" s="11" t="n">
        <v>3.9</v>
      </c>
      <c r="R88" s="35" t="n">
        <f aca="false">G88-P88</f>
        <v>-3.9</v>
      </c>
      <c r="T88" s="14" t="n">
        <v>32</v>
      </c>
      <c r="U88" s="0" t="n">
        <v>4</v>
      </c>
      <c r="V88" s="0" t="n">
        <v>0.5</v>
      </c>
    </row>
    <row r="89" customFormat="false" ht="12.75" hidden="false" customHeight="false" outlineLevel="0" collapsed="false">
      <c r="C89" s="0" t="s">
        <v>52</v>
      </c>
      <c r="H89" s="14"/>
      <c r="I89" s="26"/>
      <c r="J89" s="15"/>
      <c r="L89" s="14"/>
      <c r="M89" s="26"/>
      <c r="N89" s="11"/>
      <c r="O89" s="26"/>
      <c r="P89" s="11" t="n">
        <v>2.4</v>
      </c>
      <c r="R89" s="35" t="n">
        <f aca="false">G89-P89</f>
        <v>-2.4</v>
      </c>
      <c r="T89" s="14" t="n">
        <v>20</v>
      </c>
    </row>
    <row r="90" customFormat="false" ht="12.75" hidden="false" customHeight="false" outlineLevel="0" collapsed="false">
      <c r="C90" s="0" t="s">
        <v>53</v>
      </c>
      <c r="H90" s="14" t="n">
        <v>8.6</v>
      </c>
      <c r="I90" s="26"/>
      <c r="J90" s="13" t="s">
        <v>10</v>
      </c>
      <c r="L90" s="36" t="n">
        <v>6</v>
      </c>
      <c r="N90" s="11"/>
      <c r="P90" s="11" t="n">
        <v>1.3</v>
      </c>
      <c r="R90" s="35" t="n">
        <f aca="false">G90-P90</f>
        <v>-1.3</v>
      </c>
      <c r="T90" s="14" t="n">
        <v>11</v>
      </c>
      <c r="U90" s="0" t="n">
        <v>4</v>
      </c>
      <c r="V90" s="0" t="n">
        <v>0.5</v>
      </c>
    </row>
    <row r="91" customFormat="false" ht="12.75" hidden="false" customHeight="false" outlineLevel="0" collapsed="false">
      <c r="C91" s="0" t="s">
        <v>54</v>
      </c>
      <c r="H91" s="14" t="n">
        <v>5.9</v>
      </c>
      <c r="I91" s="26"/>
      <c r="J91" s="13" t="s">
        <v>10</v>
      </c>
      <c r="L91" s="36" t="n">
        <v>4</v>
      </c>
      <c r="N91" s="11"/>
      <c r="P91" s="11" t="n">
        <v>1.6</v>
      </c>
      <c r="R91" s="35" t="n">
        <f aca="false">G91-P91</f>
        <v>-1.6</v>
      </c>
      <c r="T91" s="14" t="n">
        <v>13</v>
      </c>
      <c r="U91" s="0" t="n">
        <v>4</v>
      </c>
      <c r="V91" s="0" t="n">
        <v>0.5</v>
      </c>
    </row>
    <row r="92" customFormat="false" ht="12.75" hidden="false" customHeight="false" outlineLevel="0" collapsed="false">
      <c r="C92" s="0" t="s">
        <v>55</v>
      </c>
      <c r="H92" s="14" t="n">
        <v>2.7</v>
      </c>
      <c r="I92" s="26"/>
      <c r="J92" s="15" t="s">
        <v>10</v>
      </c>
      <c r="L92" s="14" t="n">
        <v>2.1</v>
      </c>
      <c r="N92" s="11"/>
      <c r="P92" s="11" t="n">
        <v>1.7</v>
      </c>
      <c r="R92" s="35" t="n">
        <f aca="false">G92-P92</f>
        <v>-1.7</v>
      </c>
      <c r="T92" s="14" t="n">
        <v>14</v>
      </c>
      <c r="U92" s="0" t="n">
        <v>4</v>
      </c>
      <c r="V92" s="0" t="n">
        <v>0.5</v>
      </c>
    </row>
    <row r="93" customFormat="false" ht="12.75" hidden="false" customHeight="false" outlineLevel="0" collapsed="false">
      <c r="C93" s="0" t="s">
        <v>56</v>
      </c>
      <c r="H93" s="14"/>
      <c r="I93" s="26"/>
      <c r="J93" s="13"/>
      <c r="L93" s="36"/>
      <c r="N93" s="11"/>
      <c r="P93" s="11" t="n">
        <v>1</v>
      </c>
      <c r="R93" s="35" t="n">
        <f aca="false">G93-P93</f>
        <v>-1</v>
      </c>
      <c r="T93" s="14" t="n">
        <v>8</v>
      </c>
    </row>
    <row r="94" customFormat="false" ht="12.75" hidden="false" customHeight="false" outlineLevel="0" collapsed="false">
      <c r="C94" s="0" t="s">
        <v>57</v>
      </c>
      <c r="H94" s="14" t="n">
        <v>3.1</v>
      </c>
      <c r="I94" s="26"/>
      <c r="J94" s="15" t="s">
        <v>10</v>
      </c>
      <c r="L94" s="14" t="n">
        <v>2.7</v>
      </c>
      <c r="N94" s="11"/>
      <c r="P94" s="11" t="n">
        <v>4.4</v>
      </c>
      <c r="R94" s="35" t="n">
        <f aca="false">G94-P94</f>
        <v>-4.4</v>
      </c>
      <c r="T94" s="14" t="n">
        <f aca="false">28+8</f>
        <v>36</v>
      </c>
      <c r="U94" s="0" t="n">
        <v>4</v>
      </c>
      <c r="V94" s="0" t="n">
        <v>0.5</v>
      </c>
    </row>
    <row r="95" customFormat="false" ht="12.75" hidden="false" customHeight="false" outlineLevel="0" collapsed="false">
      <c r="C95" s="0" t="s">
        <v>58</v>
      </c>
      <c r="H95" s="14"/>
      <c r="I95" s="26"/>
      <c r="J95" s="15"/>
      <c r="L95" s="14"/>
      <c r="N95" s="11"/>
      <c r="P95" s="29" t="n">
        <v>0.5</v>
      </c>
      <c r="R95" s="30" t="n">
        <f aca="false">G95-P95</f>
        <v>-0.5</v>
      </c>
      <c r="T95" s="28" t="n">
        <v>4</v>
      </c>
      <c r="U95" s="26"/>
    </row>
    <row r="96" customFormat="false" ht="12.75" hidden="true" customHeight="false" outlineLevel="0" collapsed="false">
      <c r="C96" s="0" t="s">
        <v>56</v>
      </c>
      <c r="H96" s="14" t="n">
        <v>2.7</v>
      </c>
      <c r="I96" s="26"/>
      <c r="J96" s="15" t="s">
        <v>10</v>
      </c>
      <c r="L96" s="14" t="n">
        <v>2.5</v>
      </c>
      <c r="N96" s="11"/>
      <c r="P96" s="11" t="n">
        <v>0</v>
      </c>
      <c r="R96" s="35" t="n">
        <f aca="false">G96-P96</f>
        <v>0</v>
      </c>
      <c r="T96" s="14" t="n">
        <v>0</v>
      </c>
      <c r="U96" s="0" t="n">
        <v>5</v>
      </c>
      <c r="V96" s="0" t="n">
        <v>0.5</v>
      </c>
    </row>
    <row r="97" customFormat="false" ht="12.75" hidden="true" customHeight="false" outlineLevel="0" collapsed="false">
      <c r="C97" s="0" t="s">
        <v>59</v>
      </c>
      <c r="H97" s="28" t="n">
        <v>3.3</v>
      </c>
      <c r="I97" s="26"/>
      <c r="J97" s="38" t="s">
        <v>10</v>
      </c>
      <c r="L97" s="28" t="n">
        <v>2.9</v>
      </c>
      <c r="N97" s="29"/>
      <c r="P97" s="11" t="n">
        <v>0</v>
      </c>
      <c r="R97" s="35" t="n">
        <f aca="false">G97-P97</f>
        <v>0</v>
      </c>
      <c r="T97" s="14" t="n">
        <v>0</v>
      </c>
      <c r="U97" s="39" t="n">
        <v>6</v>
      </c>
      <c r="V97" s="0" t="n">
        <v>0.05</v>
      </c>
    </row>
    <row r="98" customFormat="false" ht="12.75" hidden="true" customHeight="false" outlineLevel="0" collapsed="false">
      <c r="C98" s="0" t="s">
        <v>57</v>
      </c>
      <c r="H98" s="14"/>
      <c r="I98" s="26"/>
      <c r="J98" s="15"/>
      <c r="L98" s="14"/>
      <c r="N98" s="11"/>
      <c r="P98" s="11" t="n">
        <v>0</v>
      </c>
      <c r="R98" s="35" t="n">
        <f aca="false">G98-P98</f>
        <v>0</v>
      </c>
      <c r="T98" s="14" t="n">
        <v>0</v>
      </c>
      <c r="U98" s="26"/>
    </row>
    <row r="99" customFormat="false" ht="12.75" hidden="false" customHeight="false" outlineLevel="0" collapsed="false">
      <c r="H99" s="40" t="n">
        <f aca="false">SUM(H86:H97)</f>
        <v>39.2</v>
      </c>
      <c r="I99" s="41"/>
      <c r="J99" s="42" t="n">
        <v>452</v>
      </c>
      <c r="L99" s="40" t="n">
        <f aca="false">SUM(L86:L97)</f>
        <v>29.9</v>
      </c>
      <c r="N99" s="42"/>
      <c r="P99" s="40" t="n">
        <f aca="false">SUM(P86:P98)</f>
        <v>22.5</v>
      </c>
      <c r="R99" s="35" t="n">
        <f aca="false">SUM(R86:R98)</f>
        <v>-22.5</v>
      </c>
      <c r="T99" s="42" t="n">
        <f aca="false">SUM(T86:T98)</f>
        <v>184</v>
      </c>
      <c r="U99" s="0" t="n">
        <v>178</v>
      </c>
      <c r="V99" s="0" t="n">
        <f aca="false">SUM(V86:V97)</f>
        <v>3.55</v>
      </c>
      <c r="W99" s="0" t="s">
        <v>60</v>
      </c>
    </row>
    <row r="100" customFormat="false" ht="12.75" hidden="false" customHeight="false" outlineLevel="0" collapsed="false">
      <c r="H100" s="14"/>
      <c r="I100" s="26"/>
      <c r="J100" s="14"/>
      <c r="L100" s="14"/>
      <c r="N100" s="14"/>
      <c r="P100" s="11"/>
      <c r="R100" s="14"/>
      <c r="T100" s="14"/>
    </row>
    <row r="101" customFormat="false" ht="12.75" hidden="false" customHeight="false" outlineLevel="0" collapsed="false">
      <c r="B101" s="0" t="s">
        <v>61</v>
      </c>
      <c r="H101" s="14" t="n">
        <v>27.5</v>
      </c>
      <c r="I101" s="26"/>
      <c r="J101" s="13" t="n">
        <v>175</v>
      </c>
      <c r="L101" s="36" t="n">
        <v>29</v>
      </c>
      <c r="M101" s="0" t="s">
        <v>10</v>
      </c>
      <c r="N101" s="42"/>
      <c r="P101" s="11" t="n">
        <v>38.3</v>
      </c>
      <c r="R101" s="35" t="n">
        <f aca="false">G101-P101</f>
        <v>-38.3</v>
      </c>
      <c r="T101" s="14" t="n">
        <v>141</v>
      </c>
      <c r="U101" s="0" t="s">
        <v>10</v>
      </c>
      <c r="V101" s="0" t="s">
        <v>10</v>
      </c>
    </row>
    <row r="102" customFormat="false" ht="12.75" hidden="false" customHeight="false" outlineLevel="0" collapsed="false">
      <c r="B102" s="0" t="s">
        <v>62</v>
      </c>
      <c r="H102" s="14" t="n">
        <v>48.9</v>
      </c>
      <c r="I102" s="26"/>
      <c r="J102" s="15" t="s">
        <v>10</v>
      </c>
      <c r="L102" s="36" t="n">
        <v>55</v>
      </c>
      <c r="N102" s="42"/>
      <c r="P102" s="11" t="n">
        <v>30.2</v>
      </c>
      <c r="R102" s="35" t="n">
        <f aca="false">G102-P102</f>
        <v>-30.2</v>
      </c>
      <c r="T102" s="14" t="n">
        <v>59</v>
      </c>
    </row>
    <row r="103" customFormat="false" ht="12.75" hidden="false" customHeight="false" outlineLevel="0" collapsed="false">
      <c r="P103" s="14"/>
      <c r="R103" s="14"/>
      <c r="T103" s="14"/>
    </row>
    <row r="104" customFormat="false" ht="12.75" hidden="false" customHeight="false" outlineLevel="0" collapsed="false">
      <c r="B104" s="0" t="s">
        <v>63</v>
      </c>
      <c r="H104" s="14" t="n">
        <v>0.8</v>
      </c>
      <c r="I104" s="26"/>
      <c r="J104" s="15" t="s">
        <v>10</v>
      </c>
      <c r="L104" s="14" t="n">
        <v>5.2</v>
      </c>
      <c r="N104" s="42"/>
      <c r="P104" s="11" t="n">
        <v>9.1</v>
      </c>
      <c r="R104" s="35" t="n">
        <f aca="false">G104-P104</f>
        <v>-9.1</v>
      </c>
      <c r="T104" s="14" t="n">
        <v>39</v>
      </c>
    </row>
    <row r="105" customFormat="false" ht="12.75" hidden="false" customHeight="false" outlineLevel="0" collapsed="false">
      <c r="P105" s="14"/>
      <c r="R105" s="14"/>
      <c r="T105" s="14"/>
    </row>
    <row r="106" customFormat="false" ht="12.75" hidden="false" customHeight="false" outlineLevel="0" collapsed="false">
      <c r="B106" s="0" t="s">
        <v>64</v>
      </c>
      <c r="H106" s="14" t="n">
        <v>2.8</v>
      </c>
      <c r="I106" s="26"/>
      <c r="J106" s="15" t="n">
        <v>0</v>
      </c>
      <c r="L106" s="14" t="n">
        <v>3.5</v>
      </c>
      <c r="M106" s="0" t="s">
        <v>10</v>
      </c>
      <c r="N106" s="42" t="n">
        <v>96</v>
      </c>
      <c r="P106" s="11" t="n">
        <v>4.1</v>
      </c>
      <c r="R106" s="35" t="n">
        <f aca="false">G106-P106</f>
        <v>-4.1</v>
      </c>
      <c r="T106" s="14" t="n">
        <v>33</v>
      </c>
    </row>
    <row r="107" customFormat="false" ht="12.75" hidden="false" customHeight="false" outlineLevel="0" collapsed="false">
      <c r="P107" s="14"/>
      <c r="R107" s="14"/>
      <c r="T107" s="14"/>
    </row>
    <row r="108" customFormat="false" ht="12.75" hidden="false" customHeight="false" outlineLevel="0" collapsed="false">
      <c r="B108" s="0" t="s">
        <v>65</v>
      </c>
      <c r="H108" s="14" t="n">
        <v>11.4</v>
      </c>
      <c r="I108" s="26"/>
      <c r="J108" s="15" t="s">
        <v>10</v>
      </c>
      <c r="L108" s="36" t="n">
        <v>7.3</v>
      </c>
      <c r="N108" s="15"/>
      <c r="P108" s="11" t="n">
        <v>3.1</v>
      </c>
      <c r="R108" s="35" t="n">
        <f aca="false">G108-P108</f>
        <v>-3.1</v>
      </c>
      <c r="T108" s="14" t="n">
        <v>15</v>
      </c>
    </row>
    <row r="109" customFormat="false" ht="12.75" hidden="false" customHeight="false" outlineLevel="0" collapsed="false">
      <c r="H109" s="14"/>
      <c r="I109" s="26"/>
      <c r="J109" s="14"/>
      <c r="L109" s="14"/>
      <c r="N109" s="14"/>
      <c r="P109" s="11"/>
      <c r="R109" s="14"/>
      <c r="T109" s="14"/>
    </row>
    <row r="110" customFormat="false" ht="12.75" hidden="false" customHeight="false" outlineLevel="0" collapsed="false">
      <c r="B110" s="0" t="s">
        <v>66</v>
      </c>
      <c r="H110" s="14" t="n">
        <v>1.2</v>
      </c>
      <c r="I110" s="26"/>
      <c r="J110" s="15" t="n">
        <v>0</v>
      </c>
      <c r="L110" s="14" t="n">
        <v>0.7</v>
      </c>
      <c r="M110" s="0" t="s">
        <v>10</v>
      </c>
      <c r="N110" s="14" t="n">
        <v>26</v>
      </c>
      <c r="P110" s="11" t="n">
        <v>2.6</v>
      </c>
      <c r="R110" s="35" t="n">
        <f aca="false">G110-P110</f>
        <v>-2.6</v>
      </c>
      <c r="T110" s="14" t="n">
        <v>8</v>
      </c>
    </row>
    <row r="111" customFormat="false" ht="12.75" hidden="false" customHeight="false" outlineLevel="0" collapsed="false">
      <c r="H111" s="14"/>
      <c r="I111" s="26"/>
      <c r="J111" s="15"/>
      <c r="L111" s="14"/>
      <c r="N111" s="14"/>
      <c r="P111" s="11"/>
      <c r="R111" s="35"/>
      <c r="T111" s="14"/>
    </row>
    <row r="112" customFormat="false" ht="12.75" hidden="false" customHeight="false" outlineLevel="0" collapsed="false">
      <c r="B112" s="0" t="s">
        <v>67</v>
      </c>
      <c r="H112" s="14"/>
      <c r="I112" s="26"/>
      <c r="J112" s="15"/>
      <c r="L112" s="14"/>
      <c r="N112" s="14"/>
      <c r="P112" s="11" t="n">
        <v>0.7</v>
      </c>
      <c r="R112" s="35" t="n">
        <f aca="false">G112-P112</f>
        <v>-0.7</v>
      </c>
      <c r="T112" s="14" t="n">
        <v>3</v>
      </c>
    </row>
    <row r="113" customFormat="false" ht="12.75" hidden="false" customHeight="false" outlineLevel="0" collapsed="false">
      <c r="H113" s="14"/>
      <c r="I113" s="26"/>
      <c r="J113" s="14"/>
      <c r="L113" s="14"/>
      <c r="N113" s="14"/>
      <c r="P113" s="11"/>
      <c r="R113" s="35"/>
      <c r="T113" s="14"/>
    </row>
    <row r="114" customFormat="false" ht="12.75" hidden="true" customHeight="false" outlineLevel="0" collapsed="false">
      <c r="B114" s="0" t="s">
        <v>66</v>
      </c>
      <c r="H114" s="14" t="n">
        <v>1.1</v>
      </c>
      <c r="I114" s="26"/>
      <c r="J114" s="15" t="n">
        <v>0</v>
      </c>
      <c r="L114" s="14" t="n">
        <v>0.7</v>
      </c>
      <c r="N114" s="14" t="n">
        <v>27</v>
      </c>
      <c r="P114" s="11" t="n">
        <v>0</v>
      </c>
      <c r="R114" s="35" t="n">
        <f aca="false">G114-P114</f>
        <v>0</v>
      </c>
      <c r="T114" s="14" t="n">
        <v>0</v>
      </c>
    </row>
    <row r="115" customFormat="false" ht="12.75" hidden="true" customHeight="false" outlineLevel="0" collapsed="false">
      <c r="H115" s="14"/>
      <c r="I115" s="26"/>
      <c r="J115" s="14" t="s">
        <v>10</v>
      </c>
      <c r="L115" s="14"/>
      <c r="N115" s="14" t="s">
        <v>10</v>
      </c>
      <c r="P115" s="11"/>
      <c r="R115" s="14"/>
      <c r="T115" s="14" t="s">
        <v>10</v>
      </c>
    </row>
    <row r="116" customFormat="false" ht="12.75" hidden="false" customHeight="false" outlineLevel="0" collapsed="false">
      <c r="B116" s="0" t="s">
        <v>68</v>
      </c>
      <c r="H116" s="36" t="n">
        <v>14</v>
      </c>
      <c r="I116" s="43"/>
      <c r="J116" s="13" t="n">
        <v>128</v>
      </c>
      <c r="L116" s="14" t="n">
        <v>7.9</v>
      </c>
      <c r="M116" s="0" t="s">
        <v>10</v>
      </c>
      <c r="N116" s="14" t="n">
        <v>122</v>
      </c>
      <c r="P116" s="11" t="n">
        <v>7.1</v>
      </c>
      <c r="R116" s="35" t="n">
        <f aca="false">G116-P116</f>
        <v>-7.1</v>
      </c>
      <c r="T116" s="14" t="n">
        <v>45</v>
      </c>
      <c r="U116" s="0" t="s">
        <v>10</v>
      </c>
      <c r="V116" s="0" t="s">
        <v>10</v>
      </c>
      <c r="W116" s="0" t="s">
        <v>10</v>
      </c>
      <c r="X116" s="0" t="s">
        <v>10</v>
      </c>
    </row>
    <row r="117" customFormat="false" ht="12.75" hidden="false" customHeight="false" outlineLevel="0" collapsed="false">
      <c r="H117" s="14"/>
      <c r="I117" s="26"/>
      <c r="J117" s="14"/>
      <c r="L117" s="14"/>
      <c r="N117" s="14"/>
      <c r="P117" s="11"/>
      <c r="R117" s="35"/>
      <c r="T117" s="14"/>
    </row>
    <row r="118" customFormat="false" ht="12.75" hidden="false" customHeight="false" outlineLevel="0" collapsed="false">
      <c r="B118" s="0" t="s">
        <v>69</v>
      </c>
      <c r="E118" s="0" t="s">
        <v>10</v>
      </c>
      <c r="H118" s="14" t="n">
        <v>5.7</v>
      </c>
      <c r="I118" s="26"/>
      <c r="J118" s="13" t="n">
        <v>30</v>
      </c>
      <c r="L118" s="14" t="n">
        <v>2.5</v>
      </c>
      <c r="M118" s="0" t="s">
        <v>10</v>
      </c>
      <c r="N118" s="14" t="n">
        <f aca="false">28+7</f>
        <v>35</v>
      </c>
      <c r="P118" s="11" t="n">
        <v>1.6</v>
      </c>
      <c r="R118" s="35" t="n">
        <f aca="false">G118-P118</f>
        <v>-1.6</v>
      </c>
      <c r="T118" s="14" t="n">
        <f aca="false">6</f>
        <v>6</v>
      </c>
    </row>
    <row r="119" customFormat="false" ht="12.75" hidden="false" customHeight="false" outlineLevel="0" collapsed="false">
      <c r="H119" s="14"/>
      <c r="I119" s="26"/>
      <c r="J119" s="13"/>
      <c r="L119" s="14"/>
      <c r="N119" s="14"/>
      <c r="P119" s="11"/>
      <c r="R119" s="35"/>
      <c r="T119" s="14"/>
    </row>
    <row r="120" customFormat="false" ht="12.75" hidden="false" customHeight="false" outlineLevel="0" collapsed="false">
      <c r="B120" s="0" t="s">
        <v>70</v>
      </c>
      <c r="H120" s="14"/>
      <c r="I120" s="26"/>
      <c r="J120" s="13"/>
      <c r="L120" s="14"/>
      <c r="N120" s="14"/>
      <c r="P120" s="11" t="n">
        <v>1.3</v>
      </c>
      <c r="R120" s="35" t="n">
        <f aca="false">G120-P120</f>
        <v>-1.3</v>
      </c>
      <c r="T120" s="14" t="n">
        <v>5</v>
      </c>
    </row>
    <row r="121" customFormat="false" ht="12.75" hidden="false" customHeight="false" outlineLevel="0" collapsed="false">
      <c r="H121" s="14"/>
      <c r="I121" s="26"/>
      <c r="J121" s="14"/>
      <c r="L121" s="14"/>
      <c r="N121" s="14"/>
      <c r="P121" s="14"/>
      <c r="R121" s="14"/>
      <c r="T121" s="14"/>
    </row>
    <row r="122" customFormat="false" ht="12.75" hidden="false" customHeight="false" outlineLevel="0" collapsed="false">
      <c r="B122" s="0" t="s">
        <v>71</v>
      </c>
      <c r="H122" s="14" t="n">
        <v>10.7</v>
      </c>
      <c r="I122" s="26"/>
      <c r="J122" s="13" t="n">
        <v>39</v>
      </c>
      <c r="L122" s="14" t="n">
        <v>4.1</v>
      </c>
      <c r="M122" s="0" t="s">
        <v>10</v>
      </c>
      <c r="N122" s="42" t="n">
        <v>105</v>
      </c>
      <c r="P122" s="11" t="n">
        <v>2.5</v>
      </c>
      <c r="R122" s="35" t="n">
        <f aca="false">G122-P122</f>
        <v>-2.5</v>
      </c>
      <c r="T122" s="14" t="n">
        <v>14</v>
      </c>
    </row>
    <row r="123" customFormat="false" ht="12.75" hidden="true" customHeight="false" outlineLevel="0" collapsed="false">
      <c r="B123" s="0" t="s">
        <v>72</v>
      </c>
      <c r="H123" s="14" t="n">
        <v>1.1</v>
      </c>
      <c r="I123" s="26"/>
      <c r="J123" s="15" t="s">
        <v>10</v>
      </c>
      <c r="L123" s="14" t="n">
        <v>7.7</v>
      </c>
      <c r="N123" s="42"/>
      <c r="P123" s="11" t="n">
        <v>0</v>
      </c>
      <c r="R123" s="35" t="n">
        <f aca="false">G123-P123</f>
        <v>0</v>
      </c>
      <c r="T123" s="14" t="n">
        <v>0</v>
      </c>
    </row>
    <row r="124" customFormat="false" ht="12.75" hidden="false" customHeight="false" outlineLevel="0" collapsed="false">
      <c r="P124" s="14"/>
      <c r="R124" s="14"/>
      <c r="T124" s="14"/>
    </row>
    <row r="125" customFormat="false" ht="12.75" hidden="false" customHeight="false" outlineLevel="0" collapsed="false">
      <c r="B125" s="0" t="s">
        <v>73</v>
      </c>
      <c r="H125" s="14" t="n">
        <v>39.3</v>
      </c>
      <c r="I125" s="26"/>
      <c r="J125" s="13" t="n">
        <v>90</v>
      </c>
      <c r="L125" s="14" t="n">
        <v>10.1</v>
      </c>
      <c r="M125" s="0" t="s">
        <v>10</v>
      </c>
      <c r="N125" s="42" t="n">
        <v>116</v>
      </c>
      <c r="P125" s="11" t="n">
        <v>10.6</v>
      </c>
      <c r="R125" s="35" t="n">
        <f aca="false">G125-P125</f>
        <v>-10.6</v>
      </c>
      <c r="T125" s="14" t="n">
        <v>22</v>
      </c>
      <c r="U125" s="0" t="s">
        <v>10</v>
      </c>
      <c r="V125" s="0" t="s">
        <v>10</v>
      </c>
    </row>
    <row r="126" customFormat="false" ht="12.75" hidden="false" customHeight="false" outlineLevel="0" collapsed="false">
      <c r="H126" s="14"/>
      <c r="I126" s="26"/>
      <c r="J126" s="42"/>
      <c r="L126" s="14"/>
      <c r="N126" s="42"/>
      <c r="P126" s="11"/>
      <c r="R126" s="35"/>
      <c r="T126" s="14"/>
      <c r="V126" s="0" t="s">
        <v>10</v>
      </c>
    </row>
    <row r="127" customFormat="false" ht="12.75" hidden="false" customHeight="false" outlineLevel="0" collapsed="false">
      <c r="B127" s="0" t="s">
        <v>74</v>
      </c>
      <c r="H127" s="14"/>
      <c r="I127" s="26"/>
      <c r="J127" s="42"/>
      <c r="L127" s="14"/>
      <c r="M127" s="0" t="s">
        <v>10</v>
      </c>
      <c r="N127" s="42"/>
      <c r="P127" s="11"/>
      <c r="R127" s="35"/>
      <c r="T127" s="42"/>
    </row>
    <row r="128" customFormat="false" ht="12.75" hidden="false" customHeight="false" outlineLevel="0" collapsed="false">
      <c r="C128" s="0" t="s">
        <v>75</v>
      </c>
      <c r="H128" s="36" t="n">
        <f aca="false">15.3+0.7</f>
        <v>16</v>
      </c>
      <c r="I128" s="26"/>
      <c r="J128" s="42"/>
      <c r="L128" s="36" t="n">
        <v>6</v>
      </c>
      <c r="N128" s="42"/>
      <c r="P128" s="11" t="n">
        <v>5</v>
      </c>
      <c r="R128" s="35" t="n">
        <f aca="false">G128-P128</f>
        <v>-5</v>
      </c>
      <c r="T128" s="42"/>
    </row>
    <row r="129" customFormat="false" ht="12.75" hidden="false" customHeight="false" outlineLevel="0" collapsed="false">
      <c r="C129" s="0" t="s">
        <v>76</v>
      </c>
      <c r="H129" s="36" t="n">
        <v>1</v>
      </c>
      <c r="I129" s="43"/>
      <c r="J129" s="42"/>
      <c r="L129" s="14" t="n">
        <v>0.8</v>
      </c>
      <c r="N129" s="42"/>
      <c r="P129" s="11" t="n">
        <v>0.5</v>
      </c>
      <c r="R129" s="35" t="n">
        <f aca="false">G129-P129</f>
        <v>-0.5</v>
      </c>
      <c r="T129" s="42"/>
    </row>
    <row r="130" customFormat="false" ht="12.75" hidden="false" customHeight="false" outlineLevel="0" collapsed="false">
      <c r="C130" s="0" t="s">
        <v>60</v>
      </c>
      <c r="H130" s="36" t="n">
        <v>1</v>
      </c>
      <c r="I130" s="43"/>
      <c r="J130" s="42"/>
      <c r="L130" s="36" t="n">
        <v>0.1</v>
      </c>
      <c r="N130" s="42"/>
      <c r="P130" s="11" t="n">
        <v>1</v>
      </c>
      <c r="R130" s="35" t="n">
        <f aca="false">G130-P130</f>
        <v>-1</v>
      </c>
      <c r="T130" s="42"/>
    </row>
    <row r="131" customFormat="false" ht="12.75" hidden="false" customHeight="false" outlineLevel="0" collapsed="false">
      <c r="C131" s="0" t="s">
        <v>20</v>
      </c>
      <c r="H131" s="14" t="n">
        <v>0.4</v>
      </c>
      <c r="I131" s="26"/>
      <c r="J131" s="42"/>
      <c r="L131" s="14" t="n">
        <v>0.1</v>
      </c>
      <c r="N131" s="42"/>
      <c r="P131" s="11" t="n">
        <v>0.6</v>
      </c>
      <c r="R131" s="35" t="n">
        <f aca="false">G131-P131</f>
        <v>-0.6</v>
      </c>
      <c r="T131" s="42"/>
    </row>
    <row r="132" customFormat="false" ht="12.75" hidden="false" customHeight="false" outlineLevel="0" collapsed="false">
      <c r="H132" s="14"/>
      <c r="I132" s="26"/>
      <c r="J132" s="42"/>
      <c r="L132" s="14"/>
      <c r="N132" s="42"/>
      <c r="P132" s="11"/>
      <c r="R132" s="35"/>
      <c r="T132" s="42"/>
    </row>
    <row r="133" customFormat="false" ht="12.75" hidden="true" customHeight="false" outlineLevel="0" collapsed="false">
      <c r="B133" s="0" t="s">
        <v>77</v>
      </c>
      <c r="H133" s="14" t="n">
        <f aca="false">7.3-0.4</f>
        <v>6.9</v>
      </c>
      <c r="I133" s="26"/>
      <c r="J133" s="42"/>
      <c r="L133" s="14" t="n">
        <v>37.4</v>
      </c>
      <c r="N133" s="42"/>
      <c r="P133" s="11" t="n">
        <v>0</v>
      </c>
      <c r="R133" s="35"/>
      <c r="T133" s="42"/>
    </row>
    <row r="134" customFormat="false" ht="12.75" hidden="true" customHeight="false" outlineLevel="0" collapsed="false">
      <c r="H134" s="14"/>
      <c r="I134" s="26"/>
      <c r="J134" s="42"/>
      <c r="L134" s="14"/>
      <c r="N134" s="42"/>
      <c r="P134" s="11"/>
      <c r="R134" s="35"/>
      <c r="T134" s="42"/>
    </row>
    <row r="135" customFormat="false" ht="12.75" hidden="true" customHeight="false" outlineLevel="0" collapsed="false">
      <c r="B135" s="0" t="s">
        <v>78</v>
      </c>
      <c r="H135" s="15" t="n">
        <v>0</v>
      </c>
      <c r="I135" s="26"/>
      <c r="J135" s="42"/>
      <c r="L135" s="14" t="n">
        <v>20.9</v>
      </c>
      <c r="N135" s="42"/>
      <c r="P135" s="11"/>
      <c r="R135" s="35"/>
      <c r="T135" s="42"/>
    </row>
    <row r="136" customFormat="false" ht="12.75" hidden="true" customHeight="false" outlineLevel="0" collapsed="false">
      <c r="H136" s="14"/>
      <c r="I136" s="26"/>
      <c r="J136" s="42"/>
      <c r="L136" s="14"/>
      <c r="N136" s="42"/>
      <c r="P136" s="11"/>
      <c r="R136" s="35"/>
      <c r="T136" s="42"/>
    </row>
    <row r="137" customFormat="false" ht="12.75" hidden="true" customHeight="false" outlineLevel="0" collapsed="false">
      <c r="B137" s="0" t="s">
        <v>79</v>
      </c>
      <c r="H137" s="14" t="n">
        <v>0.1</v>
      </c>
      <c r="I137" s="26"/>
      <c r="J137" s="42" t="n">
        <v>0</v>
      </c>
      <c r="L137" s="36" t="n">
        <v>13.6</v>
      </c>
      <c r="N137" s="42" t="n">
        <f aca="false">29+29+10+37+24</f>
        <v>129</v>
      </c>
      <c r="P137" s="11" t="n">
        <v>0</v>
      </c>
      <c r="R137" s="35" t="n">
        <f aca="false">G137-P137</f>
        <v>0</v>
      </c>
      <c r="T137" s="42" t="n">
        <v>0</v>
      </c>
    </row>
    <row r="138" customFormat="false" ht="12.75" hidden="true" customHeight="false" outlineLevel="0" collapsed="false">
      <c r="H138" s="14"/>
      <c r="I138" s="26"/>
      <c r="J138" s="42"/>
      <c r="L138" s="14"/>
      <c r="N138" s="42"/>
      <c r="P138" s="11"/>
      <c r="R138" s="35"/>
      <c r="T138" s="42"/>
    </row>
    <row r="139" customFormat="false" ht="12.75" hidden="false" customHeight="false" outlineLevel="0" collapsed="false">
      <c r="H139" s="14"/>
      <c r="I139" s="26"/>
      <c r="J139" s="42"/>
      <c r="L139" s="14"/>
      <c r="N139" s="42"/>
      <c r="P139" s="11"/>
      <c r="R139" s="35"/>
      <c r="T139" s="42"/>
    </row>
    <row r="140" customFormat="false" ht="12.75" hidden="false" customHeight="false" outlineLevel="0" collapsed="false">
      <c r="B140" s="0" t="s">
        <v>80</v>
      </c>
      <c r="H140" s="14"/>
      <c r="I140" s="26"/>
      <c r="J140" s="42"/>
      <c r="L140" s="11"/>
      <c r="N140" s="42"/>
      <c r="P140" s="11" t="n">
        <f aca="false">9+2.4+2</f>
        <v>13.4</v>
      </c>
      <c r="R140" s="35" t="n">
        <f aca="false">G140-P140</f>
        <v>-13.4</v>
      </c>
      <c r="T140" s="42"/>
      <c r="U140" s="0" t="s">
        <v>81</v>
      </c>
    </row>
    <row r="141" customFormat="false" ht="12.75" hidden="false" customHeight="false" outlineLevel="0" collapsed="false">
      <c r="H141" s="14"/>
      <c r="I141" s="26"/>
      <c r="J141" s="42"/>
      <c r="L141" s="14"/>
      <c r="N141" s="42"/>
      <c r="P141" s="11"/>
      <c r="R141" s="35"/>
      <c r="T141" s="42"/>
      <c r="U141" s="0" t="s">
        <v>82</v>
      </c>
    </row>
    <row r="142" customFormat="false" ht="12.75" hidden="false" customHeight="false" outlineLevel="0" collapsed="false">
      <c r="B142" s="0" t="s">
        <v>83</v>
      </c>
      <c r="H142" s="14" t="n">
        <v>130.6</v>
      </c>
      <c r="I142" s="26"/>
      <c r="J142" s="14"/>
      <c r="L142" s="11" t="n">
        <v>61.2</v>
      </c>
      <c r="N142" s="14"/>
      <c r="P142" s="11" t="n">
        <v>0</v>
      </c>
      <c r="R142" s="15" t="n">
        <v>0</v>
      </c>
      <c r="T142" s="14"/>
    </row>
    <row r="143" customFormat="false" ht="12.75" hidden="false" customHeight="false" outlineLevel="0" collapsed="false">
      <c r="H143" s="14"/>
      <c r="I143" s="26"/>
      <c r="J143" s="28"/>
      <c r="L143" s="14"/>
      <c r="N143" s="28"/>
      <c r="P143" s="11"/>
      <c r="Q143" s="26"/>
      <c r="R143" s="35"/>
      <c r="T143" s="28"/>
    </row>
    <row r="144" customFormat="false" ht="12.75" hidden="false" customHeight="false" outlineLevel="0" collapsed="false">
      <c r="D144" s="16" t="s">
        <v>84</v>
      </c>
      <c r="H144" s="44" t="n">
        <f aca="false">+H116+H118+H77+H108+H110+H114+H99+H122+H101+H102+H123+H104+H106+H125+H128+H129+H130+H131+H137+H140+H133+H142</f>
        <v>371.1</v>
      </c>
      <c r="I144" s="12"/>
      <c r="J144" s="45" t="n">
        <f aca="false">+J116+J118+J99+J122+J101+J125</f>
        <v>914</v>
      </c>
      <c r="L144" s="44" t="n">
        <f aca="false">+L116+L118+L77+L108+L110+L114+L99+L122+L101+L102+L123+L104+L106+L125+L128+L129+L130+L131+L137+L140+L133+L142+L135</f>
        <v>313.2</v>
      </c>
      <c r="N144" s="45" t="n">
        <f aca="false">+N116+N118+N77+N108+N110+N114+N99+N122+N101+N102+N123+N104+N106+N125+N128+N129+N130+N131+N137+N140+N133+N142</f>
        <v>656</v>
      </c>
      <c r="P144" s="44" t="n">
        <f aca="false">P73+P75+P116+P118+P77+P108+P110+P114+P99+P122+P101+P102+P123+P104+P106+P125+P128+P129+P130+P131+P137+P140+P133+P142+P120+P112+P83+P81+P79</f>
        <v>182</v>
      </c>
      <c r="Q144" s="11" t="s">
        <v>10</v>
      </c>
      <c r="R144" s="44" t="n">
        <f aca="false">R73+R75+R116+R118+R77+R108+R110+R114+R99+R122+R101+R102+R123+R104+R106+R125+R128+R129+R130+R131+R137+R140+R133+R142+R120+R112+R83+R81+R79</f>
        <v>-182</v>
      </c>
      <c r="T144" s="45" t="n">
        <f aca="false">T73+T75+T116+T118+T77+T108+T110+T114+T99+T122+T101+T102+T123+T104+T106+T125+T128+T129+T130+T131+T1+T79+T81+T83+T10537+T140+T133+T142+T112+T120</f>
        <v>700</v>
      </c>
    </row>
    <row r="145" customFormat="false" ht="12.75" hidden="false" customHeight="false" outlineLevel="0" collapsed="false">
      <c r="E145" s="12"/>
      <c r="F145" s="26"/>
      <c r="G145" s="12"/>
      <c r="H145" s="11"/>
      <c r="I145" s="12"/>
      <c r="J145" s="46"/>
      <c r="K145" s="12"/>
      <c r="L145" s="11"/>
      <c r="N145" s="46"/>
      <c r="P145" s="46"/>
      <c r="R145" s="46"/>
      <c r="T145" s="46"/>
    </row>
    <row r="146" customFormat="false" ht="12.75" hidden="false" customHeight="false" outlineLevel="0" collapsed="false">
      <c r="E146" s="12"/>
      <c r="F146" s="26"/>
      <c r="G146" s="12"/>
      <c r="H146" s="11"/>
      <c r="I146" s="12"/>
      <c r="J146" s="11"/>
      <c r="K146" s="12"/>
      <c r="L146" s="11"/>
      <c r="N146" s="11"/>
      <c r="P146" s="11"/>
      <c r="R146" s="11"/>
      <c r="T146" s="11"/>
    </row>
    <row r="147" customFormat="false" ht="12.75" hidden="false" customHeight="false" outlineLevel="0" collapsed="false">
      <c r="D147" s="16" t="s">
        <v>85</v>
      </c>
      <c r="E147" s="32"/>
      <c r="F147" s="26"/>
      <c r="G147" s="31" t="n">
        <f aca="false">G71</f>
        <v>875</v>
      </c>
      <c r="H147" s="47" t="n">
        <f aca="false">H144+H71</f>
        <v>726</v>
      </c>
      <c r="I147" s="41"/>
      <c r="J147" s="48" t="n">
        <f aca="false">J144+J71</f>
        <v>1661</v>
      </c>
      <c r="K147" s="32"/>
      <c r="L147" s="47" t="n">
        <f aca="false">L144+L71</f>
        <v>838</v>
      </c>
      <c r="N147" s="48" t="n">
        <f aca="false">N144+N71</f>
        <v>1214</v>
      </c>
      <c r="P147" s="47" t="n">
        <f aca="false">P144+P71</f>
        <v>229.1</v>
      </c>
      <c r="R147" s="47" t="n">
        <f aca="false">G147-P147</f>
        <v>645.9</v>
      </c>
      <c r="T147" s="48" t="n">
        <f aca="false">T144+T71</f>
        <v>856</v>
      </c>
    </row>
    <row r="148" customFormat="false" ht="12.75" hidden="false" customHeight="false" outlineLevel="0" collapsed="false">
      <c r="F148" s="26"/>
      <c r="G148" s="12"/>
      <c r="H148" s="12"/>
      <c r="I148" s="12"/>
      <c r="J148" s="12"/>
      <c r="K148" s="12"/>
      <c r="L148" s="12"/>
      <c r="P148" s="12"/>
      <c r="R148" s="12"/>
      <c r="T148" s="12"/>
    </row>
    <row r="149" customFormat="false" ht="12.75" hidden="false" customHeight="false" outlineLevel="0" collapsed="false">
      <c r="B149" s="0" t="s">
        <v>86</v>
      </c>
      <c r="G149" s="26"/>
      <c r="H149" s="26"/>
      <c r="I149" s="26"/>
      <c r="J149" s="26"/>
      <c r="K149" s="26"/>
      <c r="L149" s="26"/>
      <c r="P149" s="26"/>
      <c r="Q149" s="26"/>
      <c r="R149" s="26"/>
      <c r="S149" s="26"/>
      <c r="T149" s="26"/>
    </row>
    <row r="150" customFormat="false" ht="12.75" hidden="false" customHeight="false" outlineLevel="0" collapsed="false">
      <c r="B150" s="0" t="s">
        <v>87</v>
      </c>
      <c r="G150" s="26"/>
      <c r="H150" s="26"/>
      <c r="I150" s="26"/>
      <c r="J150" s="26"/>
      <c r="K150" s="26"/>
      <c r="L150" s="26"/>
    </row>
    <row r="151" customFormat="false" ht="12.75" hidden="false" customHeight="false" outlineLevel="0" collapsed="false">
      <c r="B151" s="0" t="s">
        <v>88</v>
      </c>
      <c r="G151" s="26"/>
      <c r="H151" s="26"/>
      <c r="I151" s="26"/>
      <c r="J151" s="26"/>
      <c r="K151" s="26"/>
      <c r="L151" s="26"/>
    </row>
    <row r="152" customFormat="false" ht="12.75" hidden="false" customHeight="false" outlineLevel="0" collapsed="false">
      <c r="B152" s="0" t="s">
        <v>89</v>
      </c>
      <c r="G152" s="26"/>
      <c r="H152" s="26"/>
      <c r="I152" s="26"/>
      <c r="J152" s="26"/>
      <c r="K152" s="26"/>
      <c r="L152" s="26"/>
    </row>
    <row r="153" customFormat="false" ht="12.75" hidden="false" customHeight="false" outlineLevel="0" collapsed="false">
      <c r="B153" s="0" t="s">
        <v>90</v>
      </c>
    </row>
    <row r="154" customFormat="false" ht="12.75" hidden="false" customHeight="false" outlineLevel="0" collapsed="false">
      <c r="B154" s="0" t="s">
        <v>91</v>
      </c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5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21.28"/>
    <col collapsed="false" customWidth="true" hidden="false" outlineLevel="0" max="15" min="15" style="0" width="16.84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184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(L28-H10)</f>
        <v>1148400</v>
      </c>
      <c r="I8" s="58" t="s">
        <v>116</v>
      </c>
      <c r="J8" s="49" t="n">
        <v>0</v>
      </c>
      <c r="L8" s="59" t="n">
        <f aca="false">L30</f>
        <v>1378080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(L30-L28)*1.2</f>
        <v>275616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7</v>
      </c>
      <c r="L11" s="59" t="n">
        <f aca="false">J11*K11</f>
        <v>337891.26875</v>
      </c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((E12/$E$29)*$K$11)*1.2</f>
        <v>51764.7795</v>
      </c>
      <c r="I12" s="58"/>
      <c r="L12" s="59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(+((3500*5)+(1500*2))*12)*1.2</f>
        <v>295200</v>
      </c>
      <c r="I13" s="69" t="s">
        <v>125</v>
      </c>
      <c r="J13" s="70"/>
      <c r="K13" s="70"/>
      <c r="L13" s="71" t="n">
        <f aca="false">L8+L11</f>
        <v>1715971.26875</v>
      </c>
      <c r="N13" s="67"/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((E14/$E$29)*$K$11)*1.2</f>
        <v>0.0168000000013853</v>
      </c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((E15/$E$29)*$K$11)*1.2</f>
        <v>7319.41</v>
      </c>
      <c r="N15" s="67"/>
      <c r="O15" s="67"/>
      <c r="P15" s="67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/>
      <c r="O16" s="67"/>
      <c r="P16" s="67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((E17/$E$29)*$K$11)*1.2</f>
        <v>413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7"/>
      <c r="O17" s="67"/>
      <c r="P17" s="67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((E18/$E$29)*$K$11)*1.2</f>
        <v>7500.8444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18000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((E20/$E$29)*$K$11)*1.2</f>
        <v>1.12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((E21/$E$29)*$K$11)*1.2</f>
        <v>9505.22369999999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1813720.3944</v>
      </c>
      <c r="I23" s="49" t="s">
        <v>153</v>
      </c>
      <c r="J23" s="49" t="n">
        <v>110000</v>
      </c>
      <c r="K23" s="49" t="n">
        <f aca="false">2+1</f>
        <v>3</v>
      </c>
      <c r="L23" s="49" t="n">
        <f aca="false">J23*K23</f>
        <v>330000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1+2</f>
        <v>3</v>
      </c>
      <c r="L24" s="49" t="n">
        <f aca="false">J24*K24</f>
        <v>429000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7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7</v>
      </c>
      <c r="L28" s="49" t="n">
        <f aca="false">SUM(L16:L27)*1.2</f>
        <v>1148400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7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1378080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3" min="13" style="0" width="10.28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185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  <c r="N5" s="82" t="s">
        <v>168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N6" s="60" t="s">
        <v>110</v>
      </c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N7" s="61" t="s">
        <v>114</v>
      </c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1087020</v>
      </c>
      <c r="I8" s="58" t="s">
        <v>116</v>
      </c>
      <c r="J8" s="49" t="n">
        <v>0</v>
      </c>
      <c r="L8" s="59" t="n">
        <f aca="false">L30</f>
        <v>1449360</v>
      </c>
      <c r="M8" s="84"/>
      <c r="N8" s="64" t="n">
        <f aca="false">H8/2*1.5</f>
        <v>815265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N9" s="64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N10" s="64" t="n">
        <v>0</v>
      </c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v>217404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7</v>
      </c>
      <c r="L11" s="59" t="n">
        <f aca="false">J11*K11</f>
        <v>337891.26875</v>
      </c>
      <c r="N11" s="64" t="n">
        <f aca="false">H11/2*1.5</f>
        <v>163053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78000</v>
      </c>
      <c r="I12" s="58"/>
      <c r="L12" s="59"/>
      <c r="N12" s="64" t="n">
        <v>65000</v>
      </c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300000</v>
      </c>
      <c r="I13" s="69" t="s">
        <v>125</v>
      </c>
      <c r="J13" s="70"/>
      <c r="K13" s="70"/>
      <c r="L13" s="71" t="n">
        <f aca="false">L8+L11</f>
        <v>1787251.26875</v>
      </c>
      <c r="N13" s="64" t="n">
        <v>250000</v>
      </c>
      <c r="P13" s="66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N14" s="64" t="n">
        <v>0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19029.6</v>
      </c>
      <c r="N15" s="64" t="n">
        <f aca="false">20000-4142</f>
        <v>15858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4" t="n"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0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4" t="n">
        <v>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120000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4" t="n">
        <v>100000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36000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N19" s="64" t="n">
        <v>30000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1.2</v>
      </c>
      <c r="I20" s="49" t="s">
        <v>144</v>
      </c>
      <c r="J20" s="49" t="n">
        <v>71500</v>
      </c>
      <c r="K20" s="49" t="n">
        <v>1</v>
      </c>
      <c r="L20" s="49" t="n">
        <f aca="false">J20*K20</f>
        <v>71500</v>
      </c>
      <c r="N20" s="64" t="n">
        <v>1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12000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N21" s="64" t="n">
        <v>10000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N22" s="64" t="n"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1869454.8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N23" s="74" t="n">
        <f aca="false">SUM(N8:N22)</f>
        <v>1449177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1+1+1</f>
        <v>3</v>
      </c>
      <c r="L24" s="49" t="n">
        <f aca="false">J24*K24</f>
        <v>429000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7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f aca="false">1+1</f>
        <v>2</v>
      </c>
      <c r="L26" s="49" t="n">
        <f aca="false">J26*K26</f>
        <v>396000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7</v>
      </c>
      <c r="L28" s="49" t="n">
        <f aca="false">SUM(L16:L27)*1.2</f>
        <v>1207800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7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1449360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1.13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8.14"/>
    <col collapsed="false" customWidth="false" hidden="true" outlineLevel="0" max="13" min="13" style="0" width="9.06"/>
    <col collapsed="false" customWidth="true" hidden="false" outlineLevel="0" max="14" min="14" style="0" width="9.7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19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P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P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(+'Derivatives w-o  AA'!H8+Mexico!H8)*1.2</f>
        <v>1748352</v>
      </c>
      <c r="I8" s="58" t="s">
        <v>116</v>
      </c>
      <c r="J8" s="49" t="n">
        <v>0</v>
      </c>
      <c r="L8" s="59" t="n">
        <f aca="false">L30</f>
        <v>1956240</v>
      </c>
      <c r="P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f aca="false">(+'Derivatives w-o  AA'!H9+Mexico!H9)*1.2</f>
        <v>0</v>
      </c>
      <c r="I9" s="58"/>
      <c r="L9" s="59"/>
      <c r="P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f aca="false">(+'Derivatives w-o  AA'!H10+Mexico!H10)*1.2</f>
        <v>0</v>
      </c>
      <c r="I10" s="58"/>
      <c r="L10" s="59"/>
      <c r="P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(+'Derivatives w-o  AA'!H11+Mexico!H11)*1.2</f>
        <v>355608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10</v>
      </c>
      <c r="L11" s="59" t="n">
        <f aca="false">J11*K11</f>
        <v>482701.8125</v>
      </c>
      <c r="P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(+'Derivatives w-o  AA'!H12+Mexico!H12)*1.2</f>
        <v>99000</v>
      </c>
      <c r="I12" s="58"/>
      <c r="L12" s="59"/>
      <c r="P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(+'Derivatives w-o  AA'!H13+Mexico!H13)*1.2</f>
        <v>330000</v>
      </c>
      <c r="I13" s="69" t="s">
        <v>125</v>
      </c>
      <c r="J13" s="70"/>
      <c r="K13" s="70"/>
      <c r="L13" s="71" t="n">
        <f aca="false">L8+L11</f>
        <v>2438941.8125</v>
      </c>
      <c r="O13" s="66"/>
      <c r="P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(+'Derivatives w-o  AA'!H14+Mexico!H14)*1.2</f>
        <v>0</v>
      </c>
      <c r="P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(+'Derivatives w-o  AA'!H15+Mexico!H15)*1.2</f>
        <v>60000</v>
      </c>
      <c r="P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(+'Derivatives w-o  AA'!H16+Mexico!H16)*1.2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P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(+'Derivatives w-o  AA'!H17+Mexico!H17)*1.2</f>
        <v>754.8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P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(+'Derivatives w-o  AA'!H18+Mexico!H18)*1.2</f>
        <v>111000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P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(+'Derivatives w-o  AA'!H19+Mexico!H19)*1.2</f>
        <v>126000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P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(+'Derivatives w-o  AA'!H20+Mexico!H20)*1.2</f>
        <v>4.56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P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(+'Derivatives w-o  AA'!H21+Mexico!H21)*1.2</f>
        <v>22200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26"/>
      <c r="P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26"/>
      <c r="P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2852919.36</v>
      </c>
      <c r="I23" s="49" t="s">
        <v>153</v>
      </c>
      <c r="J23" s="49" t="n">
        <v>110000</v>
      </c>
      <c r="K23" s="49" t="n">
        <f aca="false">2+1</f>
        <v>3</v>
      </c>
      <c r="L23" s="49" t="n">
        <f aca="false">J23*K23</f>
        <v>330000</v>
      </c>
      <c r="O23" s="26"/>
      <c r="P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2+1+1</f>
        <v>4</v>
      </c>
      <c r="L24" s="49" t="n">
        <f aca="false">J24*K24</f>
        <v>572000</v>
      </c>
      <c r="O24" s="26"/>
      <c r="P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+'Derivatives w-o  AA'!H25+Mexico!H25</f>
        <v>11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26"/>
      <c r="P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O26" s="26"/>
      <c r="P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+'Derivatives w-o  AA'!H27+Mexico!H27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26"/>
      <c r="P27" s="64"/>
    </row>
    <row r="28" customFormat="false" ht="12.75" hidden="false" customHeight="false" outlineLevel="0" collapsed="false">
      <c r="K28" s="49" t="n">
        <f aca="false">SUM(K16:K27)</f>
        <v>10</v>
      </c>
      <c r="L28" s="49" t="n">
        <f aca="false">SUM(L16:L27)*1.2</f>
        <v>1630200</v>
      </c>
      <c r="O28" s="26"/>
      <c r="P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11</v>
      </c>
      <c r="L29" s="78" t="n">
        <v>0.2</v>
      </c>
      <c r="O29" s="26"/>
      <c r="P29" s="64"/>
    </row>
    <row r="30" customFormat="false" ht="12.75" hidden="true" customHeight="false" outlineLevel="0" collapsed="false">
      <c r="L30" s="49" t="n">
        <f aca="false">L28*1.2</f>
        <v>1956240</v>
      </c>
      <c r="O30" s="26"/>
      <c r="P30" s="26"/>
    </row>
    <row r="31" customFormat="false" ht="12.75" hidden="true" customHeight="false" outlineLevel="0" collapsed="false">
      <c r="H31" s="16" t="s">
        <v>160</v>
      </c>
      <c r="L31" s="0"/>
      <c r="O31" s="26"/>
      <c r="P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  <c r="P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  <c r="P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6"/>
      <c r="P34" s="26"/>
    </row>
    <row r="35" customFormat="false" ht="12.75" hidden="true" customHeight="false" outlineLevel="0" collapsed="false">
      <c r="O35" s="26"/>
      <c r="P35" s="26"/>
    </row>
    <row r="36" customFormat="false" ht="12.75" hidden="true" customHeight="false" outlineLevel="0" collapsed="false">
      <c r="O36" s="26"/>
      <c r="P36" s="26"/>
    </row>
    <row r="37" customFormat="false" ht="12.75" hidden="true" customHeight="false" outlineLevel="0" collapsed="false">
      <c r="O37" s="26"/>
      <c r="P37" s="26"/>
    </row>
    <row r="38" customFormat="false" ht="12.75" hidden="true" customHeight="false" outlineLevel="0" collapsed="false">
      <c r="O38" s="26"/>
      <c r="P38" s="26"/>
    </row>
    <row r="39" customFormat="false" ht="12.75" hidden="false" customHeight="false" outlineLevel="0" collapsed="false">
      <c r="O39" s="26"/>
      <c r="P39" s="26"/>
    </row>
    <row r="42" customFormat="false" ht="12.75" hidden="false" customHeight="false" outlineLevel="0" collapsed="false">
      <c r="B42" s="67"/>
      <c r="C42" s="67"/>
      <c r="D42" s="67"/>
    </row>
    <row r="43" customFormat="false" ht="12.75" hidden="false" customHeight="false" outlineLevel="0" collapsed="false">
      <c r="B43" s="67"/>
      <c r="C43" s="67"/>
      <c r="D43" s="67"/>
    </row>
    <row r="44" customFormat="false" ht="12.75" hidden="false" customHeight="false" outlineLevel="0" collapsed="false">
      <c r="B44" s="67"/>
      <c r="C44" s="67"/>
      <c r="D44" s="67"/>
    </row>
    <row r="45" customFormat="false" ht="12.75" hidden="false" customHeight="false" outlineLevel="0" collapsed="false">
      <c r="B45" s="67"/>
      <c r="C45" s="67"/>
      <c r="D45" s="67"/>
    </row>
    <row r="46" customFormat="false" ht="12.75" hidden="false" customHeight="false" outlineLevel="0" collapsed="false">
      <c r="B46" s="67"/>
      <c r="C46" s="67"/>
      <c r="D46" s="67"/>
    </row>
    <row r="47" customFormat="false" ht="12.75" hidden="false" customHeight="false" outlineLevel="0" collapsed="false">
      <c r="B47" s="67"/>
      <c r="C47" s="67"/>
      <c r="D47" s="67"/>
    </row>
    <row r="48" customFormat="false" ht="12.75" hidden="false" customHeight="false" outlineLevel="0" collapsed="false">
      <c r="B48" s="67"/>
      <c r="C48" s="67"/>
      <c r="D48" s="67"/>
    </row>
    <row r="49" customFormat="false" ht="12.75" hidden="false" customHeight="false" outlineLevel="0" collapsed="false">
      <c r="B49" s="67"/>
      <c r="C49" s="67"/>
      <c r="D49" s="67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1.13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8.14"/>
    <col collapsed="false" customWidth="false" hidden="true" outlineLevel="0" max="13" min="13" style="0" width="9.06"/>
    <col collapsed="false" customWidth="true" hidden="false" outlineLevel="0" max="14" min="14" style="0" width="9.7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19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P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P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1222275</v>
      </c>
      <c r="I8" s="58" t="s">
        <v>116</v>
      </c>
      <c r="J8" s="49" t="n">
        <v>0</v>
      </c>
      <c r="L8" s="59" t="n">
        <f aca="false">L30</f>
        <v>1956240</v>
      </c>
      <c r="P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P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P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+H8*0.2+6345</f>
        <v>250800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10</v>
      </c>
      <c r="L11" s="59" t="n">
        <f aca="false">J11*K11</f>
        <v>482701.8125</v>
      </c>
      <c r="P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67500</v>
      </c>
      <c r="I12" s="58"/>
      <c r="L12" s="59"/>
      <c r="P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225000</v>
      </c>
      <c r="I13" s="69" t="s">
        <v>125</v>
      </c>
      <c r="J13" s="70"/>
      <c r="K13" s="70"/>
      <c r="L13" s="71" t="n">
        <f aca="false">L8+L11</f>
        <v>2438941.8125</v>
      </c>
      <c r="O13" s="66"/>
      <c r="P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P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45000</v>
      </c>
      <c r="P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P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531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P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67500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P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90000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P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1.8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P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13500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26"/>
      <c r="P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26"/>
      <c r="P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1982107.8</v>
      </c>
      <c r="I23" s="49" t="s">
        <v>153</v>
      </c>
      <c r="J23" s="49" t="n">
        <v>110000</v>
      </c>
      <c r="K23" s="49" t="n">
        <f aca="false">2+1</f>
        <v>3</v>
      </c>
      <c r="L23" s="49" t="n">
        <f aca="false">J23*K23</f>
        <v>330000</v>
      </c>
      <c r="O23" s="26"/>
      <c r="P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2+1+1</f>
        <v>4</v>
      </c>
      <c r="L24" s="49" t="n">
        <f aca="false">J24*K24</f>
        <v>572000</v>
      </c>
      <c r="O24" s="26"/>
      <c r="P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v>9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26"/>
      <c r="P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O26" s="26"/>
      <c r="P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26"/>
      <c r="P27" s="64"/>
    </row>
    <row r="28" customFormat="false" ht="12.75" hidden="false" customHeight="false" outlineLevel="0" collapsed="false">
      <c r="K28" s="49" t="n">
        <f aca="false">SUM(K16:K27)</f>
        <v>10</v>
      </c>
      <c r="L28" s="49" t="n">
        <f aca="false">SUM(L16:L27)*1.2</f>
        <v>1630200</v>
      </c>
      <c r="O28" s="26"/>
      <c r="P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9</v>
      </c>
      <c r="L29" s="78" t="n">
        <v>0.2</v>
      </c>
      <c r="O29" s="26"/>
      <c r="P29" s="64"/>
    </row>
    <row r="30" customFormat="false" ht="12.75" hidden="true" customHeight="false" outlineLevel="0" collapsed="false">
      <c r="L30" s="49" t="n">
        <f aca="false">L28*1.2</f>
        <v>1956240</v>
      </c>
      <c r="O30" s="26"/>
      <c r="P30" s="26"/>
    </row>
    <row r="31" customFormat="false" ht="12.75" hidden="true" customHeight="false" outlineLevel="0" collapsed="false">
      <c r="H31" s="16" t="s">
        <v>160</v>
      </c>
      <c r="L31" s="0"/>
      <c r="O31" s="26"/>
      <c r="P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  <c r="P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  <c r="P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6"/>
      <c r="P34" s="26"/>
    </row>
    <row r="35" customFormat="false" ht="12.75" hidden="true" customHeight="false" outlineLevel="0" collapsed="false">
      <c r="O35" s="26"/>
      <c r="P35" s="26"/>
    </row>
    <row r="36" customFormat="false" ht="12.75" hidden="true" customHeight="false" outlineLevel="0" collapsed="false">
      <c r="O36" s="26"/>
      <c r="P36" s="26"/>
    </row>
    <row r="37" customFormat="false" ht="12.75" hidden="true" customHeight="false" outlineLevel="0" collapsed="false">
      <c r="O37" s="26"/>
      <c r="P37" s="26"/>
    </row>
    <row r="38" customFormat="false" ht="12.75" hidden="true" customHeight="false" outlineLevel="0" collapsed="false">
      <c r="O38" s="26"/>
      <c r="P38" s="26"/>
    </row>
    <row r="39" customFormat="false" ht="12.75" hidden="false" customHeight="false" outlineLevel="0" collapsed="false">
      <c r="O39" s="26"/>
      <c r="P39" s="26"/>
    </row>
    <row r="42" customFormat="false" ht="12.75" hidden="false" customHeight="false" outlineLevel="0" collapsed="false">
      <c r="B42" s="67"/>
      <c r="C42" s="67"/>
      <c r="D42" s="67"/>
    </row>
    <row r="43" customFormat="false" ht="12.75" hidden="false" customHeight="false" outlineLevel="0" collapsed="false">
      <c r="B43" s="67"/>
      <c r="C43" s="67"/>
      <c r="D43" s="67"/>
    </row>
    <row r="44" customFormat="false" ht="12.75" hidden="false" customHeight="false" outlineLevel="0" collapsed="false">
      <c r="B44" s="67"/>
      <c r="C44" s="67"/>
      <c r="D44" s="67"/>
    </row>
    <row r="45" customFormat="false" ht="12.75" hidden="false" customHeight="false" outlineLevel="0" collapsed="false">
      <c r="B45" s="67"/>
      <c r="C45" s="67"/>
      <c r="D45" s="67"/>
    </row>
    <row r="46" customFormat="false" ht="12.75" hidden="false" customHeight="false" outlineLevel="0" collapsed="false">
      <c r="B46" s="67"/>
      <c r="C46" s="67"/>
      <c r="D46" s="67"/>
    </row>
    <row r="47" customFormat="false" ht="12.75" hidden="false" customHeight="false" outlineLevel="0" collapsed="false">
      <c r="B47" s="67"/>
      <c r="C47" s="67"/>
      <c r="D47" s="67"/>
    </row>
    <row r="48" customFormat="false" ht="12.75" hidden="false" customHeight="false" outlineLevel="0" collapsed="false">
      <c r="B48" s="67"/>
      <c r="C48" s="67"/>
      <c r="D48" s="67"/>
    </row>
    <row r="49" customFormat="false" ht="12.75" hidden="false" customHeight="false" outlineLevel="0" collapsed="false">
      <c r="B49" s="67"/>
      <c r="C49" s="67"/>
      <c r="D49" s="67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20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P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P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234685</v>
      </c>
      <c r="I8" s="58" t="s">
        <v>116</v>
      </c>
      <c r="J8" s="49" t="n">
        <v>0</v>
      </c>
      <c r="L8" s="59" t="n">
        <f aca="false">L30</f>
        <v>364320</v>
      </c>
      <c r="P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P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P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v>45540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2</v>
      </c>
      <c r="L11" s="59" t="n">
        <f aca="false">J11*K11</f>
        <v>96540.3625</v>
      </c>
      <c r="P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15000</v>
      </c>
      <c r="I12" s="58"/>
      <c r="L12" s="59"/>
      <c r="P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50000</v>
      </c>
      <c r="I13" s="69" t="s">
        <v>125</v>
      </c>
      <c r="J13" s="70"/>
      <c r="K13" s="70"/>
      <c r="L13" s="71" t="n">
        <f aca="false">L8+L11</f>
        <v>460860.3625</v>
      </c>
      <c r="O13" s="66"/>
      <c r="P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P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5000</v>
      </c>
      <c r="P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P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98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P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25000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P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15000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P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2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P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5000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O21" s="26"/>
      <c r="P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26"/>
      <c r="P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395325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O23" s="26"/>
      <c r="P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  <c r="O24" s="26"/>
      <c r="P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2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26"/>
      <c r="P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O26" s="26"/>
      <c r="P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26"/>
      <c r="P27" s="64"/>
    </row>
    <row r="28" customFormat="false" ht="12.75" hidden="false" customHeight="false" outlineLevel="0" collapsed="false">
      <c r="K28" s="49" t="n">
        <f aca="false">SUM(K16:K27)</f>
        <v>2</v>
      </c>
      <c r="L28" s="49" t="n">
        <f aca="false">SUM(L16:L27)*1.2</f>
        <v>303600</v>
      </c>
      <c r="O28" s="26"/>
      <c r="P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2</v>
      </c>
      <c r="L29" s="78" t="n">
        <v>0.2</v>
      </c>
      <c r="O29" s="26"/>
      <c r="P29" s="64"/>
    </row>
    <row r="30" customFormat="false" ht="12.75" hidden="true" customHeight="false" outlineLevel="0" collapsed="false">
      <c r="L30" s="49" t="n">
        <f aca="false">L28*1.2</f>
        <v>364320</v>
      </c>
      <c r="O30" s="26"/>
      <c r="P30" s="26"/>
    </row>
    <row r="31" customFormat="false" ht="12.75" hidden="true" customHeight="false" outlineLevel="0" collapsed="false">
      <c r="H31" s="16" t="s">
        <v>160</v>
      </c>
      <c r="L31" s="0"/>
      <c r="O31" s="26"/>
      <c r="P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  <c r="P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  <c r="P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2</v>
      </c>
      <c r="L34" s="80" t="n">
        <f aca="false">+J34*K34</f>
        <v>96540.3625</v>
      </c>
      <c r="O34" s="26"/>
      <c r="P34" s="26"/>
    </row>
    <row r="35" customFormat="false" ht="12.75" hidden="true" customHeight="false" outlineLevel="0" collapsed="false">
      <c r="O35" s="26"/>
      <c r="P35" s="26"/>
    </row>
    <row r="36" customFormat="false" ht="12.75" hidden="true" customHeight="false" outlineLevel="0" collapsed="false">
      <c r="O36" s="26"/>
      <c r="P36" s="26"/>
    </row>
    <row r="37" customFormat="false" ht="12.75" hidden="true" customHeight="false" outlineLevel="0" collapsed="false">
      <c r="O37" s="26"/>
      <c r="P37" s="26"/>
    </row>
    <row r="38" customFormat="false" ht="12.75" hidden="true" customHeight="false" outlineLevel="0" collapsed="false">
      <c r="O38" s="26"/>
      <c r="P38" s="26"/>
    </row>
    <row r="39" customFormat="false" ht="12.75" hidden="false" customHeight="false" outlineLevel="0" collapsed="false">
      <c r="O39" s="26"/>
      <c r="P39" s="26"/>
    </row>
    <row r="41" customFormat="false" ht="12.75" hidden="false" customHeight="false" outlineLevel="0" collapsed="false">
      <c r="B41" s="0" t="s">
        <v>186</v>
      </c>
      <c r="H41" s="0" t="s">
        <v>154</v>
      </c>
    </row>
    <row r="42" customFormat="false" ht="12.75" hidden="false" customHeight="false" outlineLevel="0" collapsed="false">
      <c r="B42" s="0" t="s">
        <v>187</v>
      </c>
      <c r="H42" s="0" t="s">
        <v>153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</row>
    <row r="2" customFormat="false" ht="18" hidden="false" customHeight="false" outlineLevel="0" collapsed="false">
      <c r="B2" s="50" t="s">
        <v>188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O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O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1512720</v>
      </c>
      <c r="O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O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75000</v>
      </c>
      <c r="I10" s="58"/>
      <c r="L10" s="59"/>
      <c r="O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15000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8</v>
      </c>
      <c r="L11" s="59" t="n">
        <f aca="false">J11*K11</f>
        <v>386161.45</v>
      </c>
      <c r="O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3125</v>
      </c>
      <c r="I12" s="58"/>
      <c r="L12" s="59"/>
      <c r="O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3125</v>
      </c>
      <c r="I13" s="69" t="s">
        <v>125</v>
      </c>
      <c r="J13" s="70"/>
      <c r="K13" s="70"/>
      <c r="L13" s="71" t="n">
        <f aca="false">L8+L11</f>
        <v>1898881.45</v>
      </c>
      <c r="O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O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2500</v>
      </c>
      <c r="O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O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62.5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O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O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12500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O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0.125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O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3125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114437.625</v>
      </c>
      <c r="I23" s="49" t="s">
        <v>153</v>
      </c>
      <c r="J23" s="49" t="n">
        <v>110000</v>
      </c>
      <c r="K23" s="49" t="n">
        <v>2</v>
      </c>
      <c r="L23" s="49" t="n">
        <f aca="false">J23*K23</f>
        <v>220000</v>
      </c>
      <c r="O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4</v>
      </c>
      <c r="L24" s="49" t="n">
        <f aca="false">J24*K24</f>
        <v>572000</v>
      </c>
      <c r="O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O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64"/>
    </row>
    <row r="28" customFormat="false" ht="12.75" hidden="false" customHeight="false" outlineLevel="0" collapsed="false">
      <c r="K28" s="49" t="n">
        <f aca="false">SUM(K16:K27)</f>
        <v>8</v>
      </c>
      <c r="L28" s="49" t="n">
        <f aca="false">SUM(L16:L27)*1.2</f>
        <v>1260600</v>
      </c>
      <c r="O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</v>
      </c>
      <c r="L29" s="78" t="n">
        <v>0.2</v>
      </c>
      <c r="O29" s="64"/>
    </row>
    <row r="30" customFormat="false" ht="12.75" hidden="true" customHeight="false" outlineLevel="0" collapsed="false">
      <c r="L30" s="49" t="n">
        <f aca="false">L28*1.2</f>
        <v>1512720</v>
      </c>
      <c r="O30" s="26"/>
    </row>
    <row r="31" customFormat="false" ht="12.75" hidden="true" customHeight="false" outlineLevel="0" collapsed="false">
      <c r="H31" s="16" t="s">
        <v>160</v>
      </c>
      <c r="L31" s="0"/>
      <c r="O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O34" s="26"/>
    </row>
    <row r="35" customFormat="false" ht="12.75" hidden="true" customHeight="false" outlineLevel="0" collapsed="false">
      <c r="O35" s="26"/>
    </row>
    <row r="36" customFormat="false" ht="12.75" hidden="true" customHeight="false" outlineLevel="0" collapsed="false">
      <c r="O36" s="26"/>
    </row>
    <row r="37" customFormat="false" ht="12.75" hidden="true" customHeight="false" outlineLevel="0" collapsed="false">
      <c r="O37" s="26"/>
    </row>
    <row r="38" customFormat="false" ht="12.75" hidden="true" customHeight="false" outlineLevel="0" collapsed="false">
      <c r="O38" s="26"/>
    </row>
    <row r="39" customFormat="false" ht="12.75" hidden="false" customHeight="false" outlineLevel="0" collapsed="false">
      <c r="O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9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189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  <c r="N5" s="82" t="s">
        <v>168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N6" s="60" t="s">
        <v>110</v>
      </c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N7" s="61" t="s">
        <v>114</v>
      </c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1507968</v>
      </c>
      <c r="N8" s="64" t="n">
        <f aca="false">H8/2*1.5+75670+10715</f>
        <v>86385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N9" s="64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420200</v>
      </c>
      <c r="I10" s="58"/>
      <c r="L10" s="59"/>
      <c r="N10" s="64" t="n">
        <v>420200</v>
      </c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84040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10</v>
      </c>
      <c r="L11" s="59" t="n">
        <f aca="false">J11*K11</f>
        <v>482701.8125</v>
      </c>
      <c r="N11" s="64" t="n">
        <f aca="false">H11/2*1.5+24992</f>
        <v>88022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45000</v>
      </c>
      <c r="I12" s="58"/>
      <c r="L12" s="59"/>
      <c r="N12" s="64" t="n">
        <v>75000</v>
      </c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45000</v>
      </c>
      <c r="I13" s="69" t="s">
        <v>125</v>
      </c>
      <c r="J13" s="70"/>
      <c r="K13" s="70"/>
      <c r="L13" s="71" t="n">
        <f aca="false">L8+L11</f>
        <v>1990669.8125</v>
      </c>
      <c r="N13" s="64" t="n">
        <v>75000</v>
      </c>
      <c r="P13" s="66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N14" s="64" t="n">
        <v>0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30000</v>
      </c>
      <c r="N15" s="64" t="n">
        <v>50000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4" t="n"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354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4" t="n">
        <v>590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4" t="n"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60000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N19" s="64" t="n">
        <v>100000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1.2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N20" s="64" t="n">
        <v>2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9000</v>
      </c>
      <c r="I21" s="49" t="s">
        <v>147</v>
      </c>
      <c r="J21" s="49" t="n">
        <v>60500</v>
      </c>
      <c r="K21" s="49" t="n">
        <v>4</v>
      </c>
      <c r="L21" s="49" t="n">
        <f aca="false">J21*K21</f>
        <v>242000</v>
      </c>
      <c r="N21" s="64" t="n">
        <v>15000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2</v>
      </c>
      <c r="L22" s="49" t="n">
        <f aca="false">J22*K22</f>
        <v>178200</v>
      </c>
      <c r="N22" s="64" t="n"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693595.2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N23" s="74" t="n">
        <f aca="false">SUM(N8:N22)</f>
        <v>910199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3</f>
        <v>3</v>
      </c>
      <c r="L24" s="49" t="n">
        <f aca="false">J24*K24</f>
        <v>429000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6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10</v>
      </c>
      <c r="L28" s="49" t="n">
        <f aca="false">SUM(L16:L27)*1.2</f>
        <v>1256640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6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1507968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190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985248</v>
      </c>
      <c r="M8" s="66"/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v>178200</v>
      </c>
      <c r="I10" s="58"/>
      <c r="L10" s="59"/>
      <c r="M10" s="66"/>
      <c r="N10" s="67"/>
      <c r="O10" s="67"/>
      <c r="P10" s="67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35640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5</v>
      </c>
      <c r="L11" s="59" t="n">
        <f aca="false">J11*K11</f>
        <v>241350.90625</v>
      </c>
      <c r="M11" s="66"/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10000+4000</f>
        <v>14000</v>
      </c>
      <c r="I12" s="58"/>
      <c r="L12" s="59"/>
      <c r="M12" s="66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14000</v>
      </c>
      <c r="I13" s="69" t="s">
        <v>125</v>
      </c>
      <c r="J13" s="70"/>
      <c r="K13" s="70"/>
      <c r="L13" s="71" t="n">
        <f aca="false">L8+L11</f>
        <v>1226598.90625</v>
      </c>
      <c r="M13" s="66"/>
      <c r="N13" s="67"/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2000</v>
      </c>
      <c r="M14" s="66"/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8000</v>
      </c>
      <c r="M15" s="66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M16" s="66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98.3333333333333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M17" s="66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-0.0846666666664532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M18" s="66"/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1820.172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M19" s="66"/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0.266666666666667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M20" s="66"/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2400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M21" s="66"/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2</v>
      </c>
      <c r="L22" s="49" t="n">
        <f aca="false">J22*K22</f>
        <v>178200</v>
      </c>
      <c r="M22" s="66"/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256158.687333333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M23" s="76"/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2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5</v>
      </c>
      <c r="L28" s="49" t="n">
        <f aca="false">SUM(L16:L27)*1.2</f>
        <v>821040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2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985248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5</v>
      </c>
      <c r="L34" s="80" t="n">
        <f aca="false">+J34*K34</f>
        <v>241350.90625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true" outlineLevel="0" max="14" min="14" style="0" width="16.84"/>
    <col collapsed="false" customWidth="true" hidden="true" outlineLevel="0" max="15" min="15" style="0" width="15.85"/>
    <col collapsed="false" customWidth="true" hidden="tru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191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128304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89100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17820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</v>
      </c>
      <c r="L11" s="59" t="n">
        <f aca="false">J11*K11</f>
        <v>48270.18125</v>
      </c>
      <c r="N11" s="67" t="s">
        <v>170</v>
      </c>
      <c r="O11" s="67" t="s">
        <v>171</v>
      </c>
      <c r="P11" s="67" t="s">
        <v>172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6162.47375</v>
      </c>
      <c r="I12" s="58"/>
      <c r="L12" s="59"/>
      <c r="N12" s="67" t="s">
        <v>173</v>
      </c>
      <c r="O12" s="67" t="s">
        <v>174</v>
      </c>
      <c r="P12" s="67" t="s">
        <v>172</v>
      </c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(E13/$E$29)*$K$11</f>
        <v>5484.95691666667</v>
      </c>
      <c r="I13" s="69" t="s">
        <v>125</v>
      </c>
      <c r="J13" s="70"/>
      <c r="K13" s="70"/>
      <c r="L13" s="71" t="n">
        <f aca="false">L8+L11</f>
        <v>176574.18125</v>
      </c>
      <c r="N13" s="67" t="s">
        <v>175</v>
      </c>
      <c r="O13" s="67" t="s">
        <v>174</v>
      </c>
      <c r="P13" s="67" t="s">
        <v>172</v>
      </c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</f>
        <v>0.00200000000016492</v>
      </c>
      <c r="N14" s="67" t="s">
        <v>176</v>
      </c>
      <c r="O14" s="67" t="s">
        <v>177</v>
      </c>
      <c r="P14" s="67" t="s">
        <v>172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871.358333333333</v>
      </c>
      <c r="N15" s="67" t="s">
        <v>178</v>
      </c>
      <c r="O15" s="67" t="s">
        <v>179</v>
      </c>
      <c r="P15" s="67" t="s">
        <v>172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 t="s">
        <v>180</v>
      </c>
      <c r="O16" s="67" t="s">
        <v>179</v>
      </c>
      <c r="P16" s="67" t="s">
        <v>172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49.1666666666667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83" t="s">
        <v>181</v>
      </c>
      <c r="O17" s="83" t="s">
        <v>141</v>
      </c>
      <c r="P17" s="67" t="s">
        <v>172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892.957666666667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910.086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0.133333333333333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1131.57425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1</v>
      </c>
      <c r="L22" s="49" t="n">
        <f aca="false">J22*K22</f>
        <v>89100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122422.708916667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</v>
      </c>
      <c r="L28" s="49" t="n">
        <f aca="false">SUM(L16:L27)*1.2</f>
        <v>106920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128304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5" min="15" style="0" width="10.28"/>
    <col collapsed="false" customWidth="true" hidden="false" outlineLevel="0" max="16" min="16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192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P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P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1956240</v>
      </c>
      <c r="P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/>
      <c r="I9" s="58"/>
      <c r="L9" s="59"/>
      <c r="P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60500</v>
      </c>
      <c r="I10" s="58"/>
      <c r="L10" s="59"/>
      <c r="P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12100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10</v>
      </c>
      <c r="L11" s="59" t="n">
        <f aca="false">J11*K11</f>
        <v>482701.8125</v>
      </c>
      <c r="P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7500</v>
      </c>
      <c r="I12" s="58"/>
      <c r="L12" s="59"/>
      <c r="P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25000</v>
      </c>
      <c r="I13" s="69" t="s">
        <v>125</v>
      </c>
      <c r="J13" s="70"/>
      <c r="K13" s="70"/>
      <c r="L13" s="71" t="n">
        <f aca="false">L8+L11</f>
        <v>2438941.8125</v>
      </c>
      <c r="O13" s="66"/>
      <c r="P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P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5000</v>
      </c>
      <c r="P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P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59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P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7500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P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10000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P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0.2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P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1500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26"/>
      <c r="P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26"/>
      <c r="P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129159.2</v>
      </c>
      <c r="I23" s="49" t="s">
        <v>153</v>
      </c>
      <c r="J23" s="49" t="n">
        <v>110000</v>
      </c>
      <c r="K23" s="49" t="n">
        <f aca="false">2+1</f>
        <v>3</v>
      </c>
      <c r="L23" s="49" t="n">
        <f aca="false">J23*K23</f>
        <v>330000</v>
      </c>
      <c r="O23" s="26"/>
      <c r="P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2+1+1</f>
        <v>4</v>
      </c>
      <c r="L24" s="49" t="n">
        <f aca="false">J24*K24</f>
        <v>572000</v>
      </c>
      <c r="O24" s="26"/>
      <c r="P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26"/>
      <c r="P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O26" s="26"/>
      <c r="P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26"/>
      <c r="P27" s="64"/>
    </row>
    <row r="28" customFormat="false" ht="12.75" hidden="false" customHeight="false" outlineLevel="0" collapsed="false">
      <c r="K28" s="49" t="n">
        <f aca="false">SUM(K16:K27)</f>
        <v>10</v>
      </c>
      <c r="L28" s="49" t="n">
        <f aca="false">SUM(L16:L27)*1.2</f>
        <v>1630200</v>
      </c>
      <c r="O28" s="26"/>
      <c r="P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</v>
      </c>
      <c r="L29" s="78" t="n">
        <v>0.2</v>
      </c>
      <c r="O29" s="26"/>
      <c r="P29" s="64"/>
    </row>
    <row r="30" customFormat="false" ht="12.75" hidden="true" customHeight="false" outlineLevel="0" collapsed="false">
      <c r="L30" s="49" t="n">
        <f aca="false">L28*1.2</f>
        <v>1956240</v>
      </c>
      <c r="O30" s="26"/>
      <c r="P30" s="26"/>
    </row>
    <row r="31" customFormat="false" ht="12.75" hidden="true" customHeight="false" outlineLevel="0" collapsed="false">
      <c r="H31" s="16" t="s">
        <v>160</v>
      </c>
      <c r="L31" s="0"/>
      <c r="O31" s="26"/>
      <c r="P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  <c r="P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  <c r="P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O34" s="26"/>
      <c r="P34" s="26"/>
    </row>
    <row r="35" customFormat="false" ht="12.75" hidden="true" customHeight="false" outlineLevel="0" collapsed="false">
      <c r="O35" s="26"/>
      <c r="P35" s="26"/>
    </row>
    <row r="36" customFormat="false" ht="12.75" hidden="true" customHeight="false" outlineLevel="0" collapsed="false">
      <c r="O36" s="26"/>
      <c r="P36" s="26"/>
    </row>
    <row r="37" customFormat="false" ht="12.75" hidden="true" customHeight="false" outlineLevel="0" collapsed="false">
      <c r="O37" s="26"/>
      <c r="P37" s="26"/>
    </row>
    <row r="38" customFormat="false" ht="12.75" hidden="true" customHeight="false" outlineLevel="0" collapsed="false">
      <c r="O38" s="26"/>
      <c r="P38" s="26"/>
    </row>
    <row r="39" customFormat="false" ht="12.75" hidden="false" customHeight="false" outlineLevel="0" collapsed="false">
      <c r="O39" s="26"/>
      <c r="P39" s="26"/>
    </row>
    <row r="42" customFormat="false" ht="12.75" hidden="false" customHeight="false" outlineLevel="0" collapsed="false">
      <c r="B42" s="67"/>
      <c r="C42" s="67"/>
      <c r="D42" s="67"/>
    </row>
    <row r="43" customFormat="false" ht="12.75" hidden="false" customHeight="false" outlineLevel="0" collapsed="false">
      <c r="B43" s="67"/>
      <c r="C43" s="67"/>
      <c r="D43" s="67"/>
    </row>
    <row r="44" customFormat="false" ht="12.75" hidden="false" customHeight="false" outlineLevel="0" collapsed="false">
      <c r="B44" s="67"/>
      <c r="C44" s="67"/>
      <c r="D44" s="67"/>
    </row>
    <row r="45" customFormat="false" ht="12.75" hidden="false" customHeight="false" outlineLevel="0" collapsed="false">
      <c r="B45" s="67"/>
      <c r="C45" s="67"/>
      <c r="D45" s="67"/>
    </row>
    <row r="46" customFormat="false" ht="12.75" hidden="false" customHeight="false" outlineLevel="0" collapsed="false">
      <c r="B46" s="67"/>
      <c r="C46" s="67"/>
      <c r="D46" s="67"/>
    </row>
    <row r="47" customFormat="false" ht="12.75" hidden="false" customHeight="false" outlineLevel="0" collapsed="false">
      <c r="B47" s="67"/>
      <c r="C47" s="67"/>
      <c r="D47" s="67"/>
    </row>
    <row r="48" customFormat="false" ht="12.75" hidden="false" customHeight="false" outlineLevel="0" collapsed="false">
      <c r="B48" s="67"/>
      <c r="C48" s="67"/>
      <c r="D48" s="67"/>
    </row>
    <row r="49" customFormat="false" ht="12.75" hidden="false" customHeight="false" outlineLevel="0" collapsed="false">
      <c r="B49" s="67"/>
      <c r="C49" s="67"/>
      <c r="D49" s="67"/>
    </row>
    <row r="50" customFormat="false" ht="12.75" hidden="false" customHeight="false" outlineLevel="0" collapsed="false">
      <c r="B50" s="8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2</v>
      </c>
      <c r="I4" s="1"/>
      <c r="J4" s="4" t="n">
        <v>2000</v>
      </c>
      <c r="L4" s="4" t="s">
        <v>3</v>
      </c>
      <c r="N4" s="4" t="n">
        <v>2001</v>
      </c>
      <c r="P4" s="4" t="s">
        <v>1</v>
      </c>
      <c r="T4" s="4" t="s">
        <v>1</v>
      </c>
    </row>
    <row r="5" customFormat="false" ht="13.5" hidden="false" customHeight="false" outlineLevel="0" collapsed="false">
      <c r="E5" s="4" t="s">
        <v>4</v>
      </c>
      <c r="G5" s="5" t="s">
        <v>5</v>
      </c>
      <c r="H5" s="6" t="s">
        <v>6</v>
      </c>
      <c r="I5" s="1"/>
      <c r="J5" s="6" t="s">
        <v>7</v>
      </c>
      <c r="K5" s="1"/>
      <c r="L5" s="6" t="s">
        <v>6</v>
      </c>
      <c r="M5" s="7"/>
      <c r="N5" s="6" t="s">
        <v>7</v>
      </c>
      <c r="O5" s="7"/>
      <c r="P5" s="6" t="s">
        <v>6</v>
      </c>
      <c r="R5" s="4" t="s">
        <v>8</v>
      </c>
      <c r="T5" s="6" t="s">
        <v>7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93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10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10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94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95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35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2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26"/>
    </row>
    <row r="16" customFormat="false" ht="12.75" hidden="true" customHeight="false" outlineLevel="0" collapsed="false">
      <c r="B16" s="0" t="s">
        <v>20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2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26"/>
    </row>
    <row r="18" customFormat="false" ht="12.75" hidden="true" customHeight="false" outlineLevel="0" collapsed="false">
      <c r="B18" s="0" t="s">
        <v>37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2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10</v>
      </c>
      <c r="K19" s="12"/>
      <c r="L19" s="11"/>
      <c r="M19" s="12"/>
      <c r="N19" s="14" t="s">
        <v>10</v>
      </c>
      <c r="O19" s="12"/>
      <c r="P19" s="11"/>
      <c r="Q19" s="12"/>
      <c r="R19" s="11"/>
      <c r="T19" s="14" t="s">
        <v>10</v>
      </c>
      <c r="V19" s="26"/>
    </row>
    <row r="20" customFormat="false" ht="12.75" hidden="true" customHeight="false" outlineLevel="0" collapsed="false">
      <c r="B20" s="0" t="s">
        <v>38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2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26"/>
    </row>
    <row r="22" customFormat="false" ht="12.75" hidden="false" customHeight="false" outlineLevel="0" collapsed="false">
      <c r="B22" s="0" t="s">
        <v>96</v>
      </c>
      <c r="E22" s="14"/>
      <c r="G22" s="14"/>
      <c r="H22" s="14" t="n">
        <v>34.3</v>
      </c>
      <c r="I22" s="26"/>
      <c r="J22" s="13" t="n">
        <v>65</v>
      </c>
      <c r="K22" s="2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28"/>
      <c r="G23" s="28"/>
      <c r="H23" s="14"/>
      <c r="I23" s="26"/>
      <c r="J23" s="28"/>
      <c r="K23" s="26"/>
      <c r="L23" s="14"/>
      <c r="N23" s="28"/>
      <c r="P23" s="29"/>
      <c r="R23" s="28"/>
      <c r="T23" s="28"/>
    </row>
    <row r="24" customFormat="false" ht="12.75" hidden="false" customHeight="false" outlineLevel="0" collapsed="false">
      <c r="D24" s="16" t="s">
        <v>41</v>
      </c>
      <c r="E24" s="30" t="n">
        <v>60</v>
      </c>
      <c r="G24" s="31" t="n">
        <f aca="false">G14+G12+G10+G8</f>
        <v>875</v>
      </c>
      <c r="H24" s="31" t="n">
        <f aca="false">+H8+H10+H12+H14+H16+H22+H18+H20</f>
        <v>354.9</v>
      </c>
      <c r="I24" s="32"/>
      <c r="J24" s="33" t="n">
        <f aca="false">+J8+J10+J12+J14+J16+J18+J20+J22</f>
        <v>747</v>
      </c>
      <c r="K24" s="32"/>
      <c r="L24" s="31" t="n">
        <f aca="false">+L8+L10+L12+L14+L16+L22+L18+L20</f>
        <v>524.8</v>
      </c>
      <c r="N24" s="33" t="n">
        <f aca="false">+N8+N10+N12+N14+N16+N22+N18+N20</f>
        <v>558</v>
      </c>
      <c r="P24" s="31" t="n">
        <f aca="false">+P8+P10+P12+P14+P16+P22+P18+P20</f>
        <v>46</v>
      </c>
      <c r="R24" s="11" t="n">
        <f aca="false">G24-P24</f>
        <v>829</v>
      </c>
      <c r="T24" s="33" t="n">
        <f aca="false">+T8+T10+T12+T14+T16+T22+T18+T20</f>
        <v>229</v>
      </c>
    </row>
    <row r="25" customFormat="false" ht="12.75" hidden="false" customHeight="false" outlineLevel="0" collapsed="false">
      <c r="H25" s="14"/>
      <c r="I25" s="26"/>
      <c r="J25" s="34"/>
      <c r="L25" s="14"/>
      <c r="N25" s="34"/>
      <c r="P25" s="11"/>
      <c r="R25" s="34"/>
      <c r="T25" s="34"/>
    </row>
    <row r="26" customFormat="false" ht="12.75" hidden="false" customHeight="false" outlineLevel="0" collapsed="false">
      <c r="B26" s="0" t="s">
        <v>68</v>
      </c>
      <c r="H26" s="36" t="n">
        <v>14</v>
      </c>
      <c r="I26" s="43"/>
      <c r="J26" s="13" t="n">
        <v>128</v>
      </c>
      <c r="L26" s="14" t="n">
        <v>7.9</v>
      </c>
      <c r="M26" s="0" t="s">
        <v>10</v>
      </c>
      <c r="N26" s="14" t="n">
        <v>122</v>
      </c>
      <c r="P26" s="11" t="n">
        <v>6.8</v>
      </c>
      <c r="R26" s="35" t="n">
        <f aca="false">G26-P26</f>
        <v>-6.8</v>
      </c>
      <c r="T26" s="14" t="n">
        <v>45</v>
      </c>
      <c r="U26" s="0" t="s">
        <v>10</v>
      </c>
      <c r="V26" s="0" t="s">
        <v>10</v>
      </c>
      <c r="W26" s="0" t="s">
        <v>10</v>
      </c>
      <c r="X26" s="0" t="s">
        <v>10</v>
      </c>
    </row>
    <row r="27" customFormat="false" ht="12.75" hidden="false" customHeight="false" outlineLevel="0" collapsed="false">
      <c r="H27" s="14"/>
      <c r="I27" s="26"/>
      <c r="J27" s="14"/>
      <c r="L27" s="14"/>
      <c r="N27" s="14"/>
      <c r="P27" s="11"/>
      <c r="R27" s="35"/>
      <c r="T27" s="14"/>
    </row>
    <row r="28" customFormat="false" ht="12.75" hidden="false" customHeight="false" outlineLevel="0" collapsed="false">
      <c r="B28" s="0" t="s">
        <v>97</v>
      </c>
      <c r="E28" s="0" t="s">
        <v>10</v>
      </c>
      <c r="H28" s="14" t="n">
        <v>5.7</v>
      </c>
      <c r="I28" s="26"/>
      <c r="J28" s="13" t="n">
        <v>30</v>
      </c>
      <c r="L28" s="14" t="n">
        <v>2.5</v>
      </c>
      <c r="M28" s="0" t="s">
        <v>10</v>
      </c>
      <c r="N28" s="14" t="n">
        <f aca="false">28+7</f>
        <v>35</v>
      </c>
      <c r="P28" s="11" t="n">
        <f aca="false">1.1+1</f>
        <v>2.1</v>
      </c>
      <c r="R28" s="3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26"/>
      <c r="J29" s="14"/>
      <c r="L29" s="14" t="s">
        <v>10</v>
      </c>
      <c r="N29" s="14"/>
      <c r="P29" s="11"/>
      <c r="R29" s="35"/>
      <c r="T29" s="14"/>
    </row>
    <row r="30" customFormat="false" ht="12.75" hidden="false" customHeight="false" outlineLevel="0" collapsed="false">
      <c r="B30" s="0" t="s">
        <v>44</v>
      </c>
      <c r="H30" s="14" t="n">
        <v>11.4</v>
      </c>
      <c r="I30" s="26"/>
      <c r="J30" s="15" t="s">
        <v>10</v>
      </c>
      <c r="L30" s="14" t="n">
        <v>9.5</v>
      </c>
      <c r="M30" s="0" t="s">
        <v>10</v>
      </c>
      <c r="N30" s="13"/>
      <c r="P30" s="11" t="n">
        <v>2.2</v>
      </c>
      <c r="R30" s="3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26"/>
      <c r="J31" s="14"/>
      <c r="L31" s="14"/>
      <c r="M31" s="0" t="s">
        <v>10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65</v>
      </c>
      <c r="H32" s="14" t="n">
        <v>11.4</v>
      </c>
      <c r="I32" s="26"/>
      <c r="J32" s="15" t="s">
        <v>10</v>
      </c>
      <c r="L32" s="36" t="n">
        <v>7.3</v>
      </c>
      <c r="N32" s="15"/>
      <c r="P32" s="11" t="n">
        <v>2.3</v>
      </c>
      <c r="R32" s="3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2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98</v>
      </c>
      <c r="H34" s="14" t="n">
        <v>1.2</v>
      </c>
      <c r="I34" s="26"/>
      <c r="J34" s="15" t="n">
        <v>0</v>
      </c>
      <c r="L34" s="14" t="n">
        <v>0.7</v>
      </c>
      <c r="M34" s="0" t="s">
        <v>10</v>
      </c>
      <c r="N34" s="14" t="n">
        <v>26</v>
      </c>
      <c r="P34" s="11" t="n">
        <v>2.2</v>
      </c>
      <c r="R34" s="3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26"/>
      <c r="J35" s="14"/>
      <c r="L35" s="14"/>
      <c r="N35" s="14"/>
      <c r="P35" s="11"/>
      <c r="R35" s="35"/>
      <c r="T35" s="14"/>
    </row>
    <row r="36" customFormat="false" ht="12.75" hidden="true" customHeight="false" outlineLevel="0" collapsed="false">
      <c r="B36" s="0" t="s">
        <v>66</v>
      </c>
      <c r="H36" s="14" t="n">
        <v>1.1</v>
      </c>
      <c r="I36" s="26"/>
      <c r="J36" s="15" t="n">
        <v>0</v>
      </c>
      <c r="L36" s="14" t="n">
        <v>0.7</v>
      </c>
      <c r="N36" s="14" t="n">
        <v>27</v>
      </c>
      <c r="P36" s="11" t="n">
        <v>0</v>
      </c>
      <c r="R36" s="3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26"/>
      <c r="J37" s="14" t="s">
        <v>10</v>
      </c>
      <c r="L37" s="14"/>
      <c r="N37" s="14" t="s">
        <v>10</v>
      </c>
      <c r="P37" s="11"/>
      <c r="R37" s="14"/>
      <c r="T37" s="14" t="s">
        <v>10</v>
      </c>
    </row>
    <row r="38" customFormat="false" ht="12.75" hidden="false" customHeight="false" outlineLevel="0" collapsed="false">
      <c r="B38" s="0" t="s">
        <v>48</v>
      </c>
      <c r="H38" s="14"/>
      <c r="I38" s="26"/>
      <c r="J38" s="15" t="s">
        <v>10</v>
      </c>
      <c r="L38" s="14"/>
      <c r="M38" s="0" t="s">
        <v>10</v>
      </c>
      <c r="N38" s="14"/>
      <c r="P38" s="11"/>
      <c r="R38" s="35"/>
      <c r="T38" s="14"/>
    </row>
    <row r="39" customFormat="false" ht="12.75" hidden="false" customHeight="false" outlineLevel="0" collapsed="false">
      <c r="C39" s="0" t="s">
        <v>51</v>
      </c>
      <c r="H39" s="14" t="n">
        <v>10.2</v>
      </c>
      <c r="I39" s="26"/>
      <c r="J39" s="13" t="s">
        <v>10</v>
      </c>
      <c r="L39" s="36" t="n">
        <v>7.6</v>
      </c>
      <c r="N39" s="11"/>
      <c r="P39" s="11" t="n">
        <f aca="false">(T39/$T$49)*$P$49</f>
        <v>5.35652173913044</v>
      </c>
      <c r="R39" s="3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99</v>
      </c>
      <c r="H40" s="14" t="n">
        <v>8.6</v>
      </c>
      <c r="I40" s="26"/>
      <c r="J40" s="13" t="s">
        <v>10</v>
      </c>
      <c r="L40" s="36" t="n">
        <v>6</v>
      </c>
      <c r="N40" s="11"/>
      <c r="P40" s="11" t="n">
        <f aca="false">(T40/$T$49)*$P$49</f>
        <v>6.52826086956522</v>
      </c>
      <c r="R40" s="3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52</v>
      </c>
      <c r="H41" s="14" t="n">
        <v>5.9</v>
      </c>
      <c r="I41" s="26"/>
      <c r="J41" s="13" t="s">
        <v>10</v>
      </c>
      <c r="L41" s="36" t="n">
        <v>4</v>
      </c>
      <c r="N41" s="11"/>
      <c r="P41" s="11" t="n">
        <f aca="false">(T41/$T$49)*$P$49</f>
        <v>4.85434782608696</v>
      </c>
      <c r="R41" s="3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100</v>
      </c>
      <c r="H42" s="14" t="n">
        <v>3.1</v>
      </c>
      <c r="I42" s="26"/>
      <c r="J42" s="15" t="s">
        <v>10</v>
      </c>
      <c r="L42" s="14" t="n">
        <v>2.7</v>
      </c>
      <c r="N42" s="11"/>
      <c r="P42" s="11" t="n">
        <f aca="false">(T42/$T$49)*$P$49</f>
        <v>1.00434782608696</v>
      </c>
      <c r="R42" s="3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101</v>
      </c>
      <c r="H43" s="14" t="n">
        <v>2.7</v>
      </c>
      <c r="I43" s="26"/>
      <c r="J43" s="15" t="s">
        <v>10</v>
      </c>
      <c r="L43" s="14" t="n">
        <v>2.1</v>
      </c>
      <c r="M43" s="37"/>
      <c r="N43" s="11"/>
      <c r="O43" s="37"/>
      <c r="P43" s="11" t="n">
        <f aca="false">(T43/$T$49)*$P$49</f>
        <v>2.34347826086957</v>
      </c>
      <c r="R43" s="3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102</v>
      </c>
      <c r="H44" s="14" t="n">
        <v>2.7</v>
      </c>
      <c r="I44" s="26"/>
      <c r="J44" s="15" t="s">
        <v>10</v>
      </c>
      <c r="L44" s="14" t="n">
        <v>2.1</v>
      </c>
      <c r="N44" s="11"/>
      <c r="P44" s="11" t="n">
        <f aca="false">(T44/$T$49)*$P$49</f>
        <v>1.84130434782609</v>
      </c>
      <c r="R44" s="3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56</v>
      </c>
      <c r="H45" s="14" t="n">
        <v>2.7</v>
      </c>
      <c r="I45" s="26"/>
      <c r="J45" s="15" t="s">
        <v>10</v>
      </c>
      <c r="L45" s="14" t="n">
        <v>2.5</v>
      </c>
      <c r="N45" s="11"/>
      <c r="P45" s="11" t="n">
        <f aca="false">(T45/$T$49)*$P$49</f>
        <v>1.33913043478261</v>
      </c>
      <c r="R45" s="3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59</v>
      </c>
      <c r="H46" s="28" t="n">
        <v>3.3</v>
      </c>
      <c r="I46" s="26"/>
      <c r="J46" s="38" t="s">
        <v>10</v>
      </c>
      <c r="L46" s="28" t="n">
        <v>2.9</v>
      </c>
      <c r="N46" s="29"/>
      <c r="P46" s="11" t="n">
        <f aca="false">(T46/$T$49)*$P$49</f>
        <v>2.34347826086957</v>
      </c>
      <c r="R46" s="35" t="n">
        <f aca="false">G46-P46</f>
        <v>-2.34347826086957</v>
      </c>
      <c r="T46" s="14" t="n">
        <v>14</v>
      </c>
      <c r="U46" s="39" t="n">
        <v>6</v>
      </c>
      <c r="V46" s="0" t="n">
        <v>0.05</v>
      </c>
    </row>
    <row r="47" customFormat="false" ht="12.75" hidden="false" customHeight="false" outlineLevel="0" collapsed="false">
      <c r="C47" s="0" t="s">
        <v>57</v>
      </c>
      <c r="H47" s="14"/>
      <c r="I47" s="26"/>
      <c r="J47" s="15"/>
      <c r="L47" s="14"/>
      <c r="N47" s="11"/>
      <c r="P47" s="11" t="n">
        <f aca="false">(T47/$T$49)*$P$49</f>
        <v>4.85434782608696</v>
      </c>
      <c r="R47" s="35" t="n">
        <f aca="false">G47-P47</f>
        <v>-4.85434782608696</v>
      </c>
      <c r="T47" s="14" t="n">
        <v>29</v>
      </c>
      <c r="U47" s="26"/>
    </row>
    <row r="48" customFormat="false" ht="12.75" hidden="false" customHeight="false" outlineLevel="0" collapsed="false">
      <c r="C48" s="0" t="s">
        <v>58</v>
      </c>
      <c r="H48" s="14"/>
      <c r="I48" s="26"/>
      <c r="J48" s="15"/>
      <c r="L48" s="14"/>
      <c r="N48" s="11"/>
      <c r="P48" s="29" t="n">
        <f aca="false">(T48/$T$49)*$P$49+0.1</f>
        <v>0.434782608695652</v>
      </c>
      <c r="R48" s="30" t="n">
        <f aca="false">G48-P48+0.06</f>
        <v>-0.374782608695652</v>
      </c>
      <c r="T48" s="28" t="n">
        <v>2</v>
      </c>
      <c r="U48" s="26"/>
    </row>
    <row r="49" customFormat="false" ht="12.75" hidden="false" customHeight="false" outlineLevel="0" collapsed="false">
      <c r="H49" s="40" t="n">
        <f aca="false">SUM(H39:H46)</f>
        <v>39.2</v>
      </c>
      <c r="I49" s="41"/>
      <c r="J49" s="42" t="n">
        <v>452</v>
      </c>
      <c r="L49" s="40" t="n">
        <f aca="false">SUM(L39:L46)</f>
        <v>29.9</v>
      </c>
      <c r="N49" s="42"/>
      <c r="P49" s="40" t="n">
        <v>30.8</v>
      </c>
      <c r="R49" s="35" t="n">
        <f aca="false">SUM(R39:R48)</f>
        <v>-30.84</v>
      </c>
      <c r="T49" s="42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60</v>
      </c>
    </row>
    <row r="50" customFormat="false" ht="12.75" hidden="false" customHeight="false" outlineLevel="0" collapsed="false">
      <c r="H50" s="14"/>
      <c r="I50" s="2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71</v>
      </c>
      <c r="H51" s="14" t="n">
        <v>10.7</v>
      </c>
      <c r="I51" s="26"/>
      <c r="J51" s="13" t="n">
        <v>39</v>
      </c>
      <c r="L51" s="14" t="n">
        <v>4.1</v>
      </c>
      <c r="M51" s="0" t="s">
        <v>10</v>
      </c>
      <c r="N51" s="42" t="n">
        <v>105</v>
      </c>
      <c r="P51" s="11" t="n">
        <v>1.6</v>
      </c>
      <c r="R51" s="35" t="n">
        <f aca="false">G51-P51</f>
        <v>-1.6</v>
      </c>
      <c r="T51" s="42" t="n">
        <v>14</v>
      </c>
    </row>
    <row r="52" customFormat="false" ht="12.75" hidden="false" customHeight="false" outlineLevel="0" collapsed="false">
      <c r="H52" s="14"/>
      <c r="I52" s="2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61</v>
      </c>
      <c r="H53" s="14" t="n">
        <v>27.5</v>
      </c>
      <c r="I53" s="26"/>
      <c r="J53" s="13" t="n">
        <v>175</v>
      </c>
      <c r="L53" s="36" t="n">
        <v>29</v>
      </c>
      <c r="M53" s="0" t="s">
        <v>10</v>
      </c>
      <c r="N53" s="42"/>
      <c r="P53" s="11" t="n">
        <v>36</v>
      </c>
      <c r="R53" s="35" t="n">
        <f aca="false">G53-P53</f>
        <v>-36</v>
      </c>
      <c r="T53" s="42" t="n">
        <v>140</v>
      </c>
      <c r="U53" s="0" t="s">
        <v>10</v>
      </c>
      <c r="V53" s="0" t="s">
        <v>10</v>
      </c>
    </row>
    <row r="54" customFormat="false" ht="12.75" hidden="false" customHeight="false" outlineLevel="0" collapsed="false">
      <c r="B54" s="0" t="s">
        <v>62</v>
      </c>
      <c r="H54" s="14" t="n">
        <v>48.9</v>
      </c>
      <c r="I54" s="26"/>
      <c r="J54" s="15" t="s">
        <v>10</v>
      </c>
      <c r="L54" s="36" t="n">
        <v>55</v>
      </c>
      <c r="N54" s="42"/>
      <c r="P54" s="11" t="n">
        <v>50.1</v>
      </c>
      <c r="R54" s="35" t="n">
        <f aca="false">G54-P54</f>
        <v>-50.1</v>
      </c>
      <c r="T54" s="42" t="n">
        <v>59</v>
      </c>
    </row>
    <row r="55" customFormat="false" ht="12.75" hidden="true" customHeight="false" outlineLevel="0" collapsed="false">
      <c r="B55" s="0" t="s">
        <v>72</v>
      </c>
      <c r="H55" s="14" t="n">
        <v>1.1</v>
      </c>
      <c r="I55" s="26"/>
      <c r="J55" s="15" t="s">
        <v>10</v>
      </c>
      <c r="L55" s="14" t="n">
        <v>7.7</v>
      </c>
      <c r="N55" s="42"/>
      <c r="P55" s="11" t="n">
        <v>0</v>
      </c>
      <c r="R55" s="35" t="n">
        <f aca="false">G55-P55</f>
        <v>0</v>
      </c>
      <c r="T55" s="42" t="n">
        <v>0</v>
      </c>
    </row>
    <row r="56" customFormat="false" ht="12.75" hidden="false" customHeight="false" outlineLevel="0" collapsed="false">
      <c r="B56" s="0" t="s">
        <v>103</v>
      </c>
      <c r="H56" s="14" t="n">
        <v>0.8</v>
      </c>
      <c r="I56" s="26"/>
      <c r="J56" s="15" t="s">
        <v>10</v>
      </c>
      <c r="L56" s="14" t="n">
        <v>5.2</v>
      </c>
      <c r="N56" s="42"/>
      <c r="P56" s="11" t="n">
        <v>5.9</v>
      </c>
      <c r="R56" s="35" t="n">
        <f aca="false">G56-P56</f>
        <v>-5.9</v>
      </c>
      <c r="T56" s="42" t="n">
        <v>39</v>
      </c>
    </row>
    <row r="57" customFormat="false" ht="12.75" hidden="false" customHeight="false" outlineLevel="0" collapsed="false">
      <c r="H57" s="14"/>
      <c r="I57" s="26"/>
      <c r="J57" s="42"/>
      <c r="L57" s="14"/>
      <c r="N57" s="42"/>
      <c r="P57" s="11"/>
      <c r="R57" s="35"/>
      <c r="T57" s="42"/>
    </row>
    <row r="58" customFormat="false" ht="12.75" hidden="false" customHeight="false" outlineLevel="0" collapsed="false">
      <c r="H58" s="14"/>
      <c r="I58" s="2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64</v>
      </c>
      <c r="H59" s="14" t="n">
        <v>2.8</v>
      </c>
      <c r="I59" s="26"/>
      <c r="J59" s="15" t="n">
        <v>0</v>
      </c>
      <c r="L59" s="14" t="n">
        <v>3.5</v>
      </c>
      <c r="M59" s="0" t="s">
        <v>10</v>
      </c>
      <c r="N59" s="42" t="n">
        <v>96</v>
      </c>
      <c r="P59" s="11" t="n">
        <v>4.8</v>
      </c>
      <c r="R59" s="35" t="n">
        <f aca="false">G59-P59</f>
        <v>-4.8</v>
      </c>
      <c r="T59" s="42" t="n">
        <v>33</v>
      </c>
    </row>
    <row r="60" customFormat="false" ht="12.75" hidden="false" customHeight="false" outlineLevel="0" collapsed="false">
      <c r="H60" s="14"/>
      <c r="I60" s="2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73</v>
      </c>
      <c r="H61" s="14" t="n">
        <v>39.3</v>
      </c>
      <c r="I61" s="26"/>
      <c r="J61" s="13" t="n">
        <v>90</v>
      </c>
      <c r="L61" s="14" t="n">
        <v>10.1</v>
      </c>
      <c r="M61" s="0" t="s">
        <v>10</v>
      </c>
      <c r="N61" s="42" t="n">
        <v>116</v>
      </c>
      <c r="P61" s="11" t="n">
        <v>9.5</v>
      </c>
      <c r="R61" s="35" t="n">
        <f aca="false">G61-P61</f>
        <v>-9.5</v>
      </c>
      <c r="T61" s="42" t="n">
        <v>21</v>
      </c>
      <c r="U61" s="0" t="s">
        <v>10</v>
      </c>
      <c r="V61" s="0" t="s">
        <v>10</v>
      </c>
    </row>
    <row r="62" customFormat="false" ht="12.75" hidden="false" customHeight="false" outlineLevel="0" collapsed="false">
      <c r="H62" s="14"/>
      <c r="I62" s="26"/>
      <c r="J62" s="42"/>
      <c r="L62" s="14"/>
      <c r="N62" s="42"/>
      <c r="P62" s="11"/>
      <c r="R62" s="35"/>
      <c r="T62" s="42"/>
      <c r="V62" s="0" t="s">
        <v>10</v>
      </c>
    </row>
    <row r="63" customFormat="false" ht="12.75" hidden="false" customHeight="false" outlineLevel="0" collapsed="false">
      <c r="B63" s="0" t="s">
        <v>74</v>
      </c>
      <c r="H63" s="14"/>
      <c r="I63" s="26"/>
      <c r="J63" s="42"/>
      <c r="L63" s="14"/>
      <c r="M63" s="0" t="s">
        <v>10</v>
      </c>
      <c r="N63" s="42"/>
      <c r="P63" s="11"/>
      <c r="R63" s="35"/>
      <c r="T63" s="42"/>
    </row>
    <row r="64" customFormat="false" ht="12.75" hidden="false" customHeight="false" outlineLevel="0" collapsed="false">
      <c r="C64" s="0" t="s">
        <v>75</v>
      </c>
      <c r="H64" s="36" t="n">
        <f aca="false">15.3+0.7</f>
        <v>16</v>
      </c>
      <c r="I64" s="26"/>
      <c r="J64" s="42"/>
      <c r="L64" s="36" t="n">
        <v>6</v>
      </c>
      <c r="N64" s="42"/>
      <c r="P64" s="11" t="n">
        <v>5</v>
      </c>
      <c r="R64" s="35" t="n">
        <f aca="false">G64-P64</f>
        <v>-5</v>
      </c>
      <c r="T64" s="42"/>
    </row>
    <row r="65" customFormat="false" ht="12.75" hidden="false" customHeight="false" outlineLevel="0" collapsed="false">
      <c r="C65" s="0" t="s">
        <v>76</v>
      </c>
      <c r="H65" s="36" t="n">
        <v>1</v>
      </c>
      <c r="I65" s="43"/>
      <c r="J65" s="42"/>
      <c r="L65" s="14" t="n">
        <v>0.8</v>
      </c>
      <c r="N65" s="42"/>
      <c r="P65" s="11" t="n">
        <v>1</v>
      </c>
      <c r="R65" s="35" t="n">
        <f aca="false">G65-P65</f>
        <v>-1</v>
      </c>
      <c r="T65" s="42"/>
    </row>
    <row r="66" customFormat="false" ht="12.75" hidden="false" customHeight="false" outlineLevel="0" collapsed="false">
      <c r="C66" s="0" t="s">
        <v>60</v>
      </c>
      <c r="H66" s="36" t="n">
        <v>1</v>
      </c>
      <c r="I66" s="43"/>
      <c r="J66" s="42"/>
      <c r="L66" s="36" t="n">
        <v>0.1</v>
      </c>
      <c r="N66" s="42"/>
      <c r="P66" s="11" t="n">
        <v>1</v>
      </c>
      <c r="R66" s="35" t="n">
        <f aca="false">G66-P66</f>
        <v>-1</v>
      </c>
      <c r="T66" s="42"/>
    </row>
    <row r="67" customFormat="false" ht="12.75" hidden="false" customHeight="false" outlineLevel="0" collapsed="false">
      <c r="C67" s="0" t="s">
        <v>20</v>
      </c>
      <c r="H67" s="14" t="n">
        <v>0.4</v>
      </c>
      <c r="I67" s="26"/>
      <c r="J67" s="42"/>
      <c r="L67" s="14" t="n">
        <v>0.1</v>
      </c>
      <c r="N67" s="42"/>
      <c r="P67" s="11" t="n">
        <v>0.6</v>
      </c>
      <c r="R67" s="35" t="n">
        <f aca="false">G67-P67</f>
        <v>-0.6</v>
      </c>
      <c r="T67" s="42"/>
    </row>
    <row r="68" customFormat="false" ht="12.75" hidden="false" customHeight="false" outlineLevel="0" collapsed="false">
      <c r="H68" s="14"/>
      <c r="I68" s="26"/>
      <c r="J68" s="42"/>
      <c r="L68" s="14"/>
      <c r="N68" s="42"/>
      <c r="P68" s="11"/>
      <c r="R68" s="35"/>
      <c r="T68" s="42"/>
    </row>
    <row r="69" customFormat="false" ht="12.75" hidden="true" customHeight="false" outlineLevel="0" collapsed="false">
      <c r="B69" s="0" t="s">
        <v>77</v>
      </c>
      <c r="H69" s="14" t="n">
        <f aca="false">7.3-0.4</f>
        <v>6.9</v>
      </c>
      <c r="I69" s="26"/>
      <c r="J69" s="42"/>
      <c r="L69" s="14" t="n">
        <v>37.4</v>
      </c>
      <c r="N69" s="42"/>
      <c r="P69" s="11" t="n">
        <v>0</v>
      </c>
      <c r="R69" s="35"/>
      <c r="T69" s="42"/>
    </row>
    <row r="70" customFormat="false" ht="12.75" hidden="true" customHeight="false" outlineLevel="0" collapsed="false">
      <c r="H70" s="14"/>
      <c r="I70" s="26"/>
      <c r="J70" s="42"/>
      <c r="L70" s="14"/>
      <c r="N70" s="42"/>
      <c r="P70" s="11"/>
      <c r="R70" s="35"/>
      <c r="T70" s="42"/>
    </row>
    <row r="71" customFormat="false" ht="12.75" hidden="true" customHeight="false" outlineLevel="0" collapsed="false">
      <c r="B71" s="0" t="s">
        <v>78</v>
      </c>
      <c r="H71" s="15" t="n">
        <v>0</v>
      </c>
      <c r="I71" s="26"/>
      <c r="J71" s="42"/>
      <c r="L71" s="14" t="n">
        <v>20.9</v>
      </c>
      <c r="N71" s="42"/>
      <c r="P71" s="11"/>
      <c r="R71" s="35"/>
      <c r="T71" s="42"/>
    </row>
    <row r="72" customFormat="false" ht="12.75" hidden="true" customHeight="false" outlineLevel="0" collapsed="false">
      <c r="H72" s="14"/>
      <c r="I72" s="26"/>
      <c r="J72" s="42"/>
      <c r="L72" s="14"/>
      <c r="N72" s="42"/>
      <c r="P72" s="11"/>
      <c r="R72" s="35"/>
      <c r="T72" s="42"/>
    </row>
    <row r="73" customFormat="false" ht="12.75" hidden="false" customHeight="false" outlineLevel="0" collapsed="false">
      <c r="B73" s="0" t="s">
        <v>79</v>
      </c>
      <c r="H73" s="14" t="n">
        <v>0.1</v>
      </c>
      <c r="I73" s="26"/>
      <c r="J73" s="42" t="n">
        <v>0</v>
      </c>
      <c r="L73" s="36" t="n">
        <v>13.6</v>
      </c>
      <c r="N73" s="42" t="n">
        <f aca="false">29+29+10+37+24</f>
        <v>129</v>
      </c>
      <c r="P73" s="11" t="n">
        <f aca="false">4.3+1.1+1</f>
        <v>6.4</v>
      </c>
      <c r="R73" s="35" t="n">
        <f aca="false">G73-P73</f>
        <v>-6.4</v>
      </c>
      <c r="T73" s="42" t="n">
        <f aca="false">29+6+5</f>
        <v>40</v>
      </c>
    </row>
    <row r="74" customFormat="false" ht="12.75" hidden="false" customHeight="false" outlineLevel="0" collapsed="false">
      <c r="H74" s="14"/>
      <c r="I74" s="26"/>
      <c r="J74" s="42"/>
      <c r="L74" s="14"/>
      <c r="N74" s="42"/>
      <c r="P74" s="11"/>
      <c r="R74" s="35"/>
      <c r="T74" s="42"/>
    </row>
    <row r="75" customFormat="false" ht="12.75" hidden="false" customHeight="false" outlineLevel="0" collapsed="false">
      <c r="H75" s="14"/>
      <c r="I75" s="26"/>
      <c r="J75" s="42"/>
      <c r="L75" s="14"/>
      <c r="N75" s="42"/>
      <c r="P75" s="11"/>
      <c r="R75" s="35"/>
      <c r="T75" s="42"/>
    </row>
    <row r="76" customFormat="false" ht="12.75" hidden="false" customHeight="false" outlineLevel="0" collapsed="false">
      <c r="B76" s="0" t="s">
        <v>80</v>
      </c>
      <c r="H76" s="14"/>
      <c r="I76" s="26"/>
      <c r="J76" s="42"/>
      <c r="L76" s="11"/>
      <c r="N76" s="42"/>
      <c r="P76" s="11" t="n">
        <f aca="false">9+2.4+2</f>
        <v>13.4</v>
      </c>
      <c r="R76" s="35" t="n">
        <f aca="false">G76-P76</f>
        <v>-13.4</v>
      </c>
      <c r="T76" s="42"/>
      <c r="U76" s="0" t="s">
        <v>81</v>
      </c>
    </row>
    <row r="77" customFormat="false" ht="12.75" hidden="false" customHeight="false" outlineLevel="0" collapsed="false">
      <c r="H77" s="14"/>
      <c r="I77" s="26"/>
      <c r="J77" s="42"/>
      <c r="L77" s="14"/>
      <c r="N77" s="42"/>
      <c r="P77" s="11"/>
      <c r="R77" s="35"/>
      <c r="T77" s="42"/>
      <c r="U77" s="0" t="s">
        <v>82</v>
      </c>
    </row>
    <row r="78" customFormat="false" ht="12.75" hidden="false" customHeight="false" outlineLevel="0" collapsed="false">
      <c r="B78" s="0" t="s">
        <v>83</v>
      </c>
      <c r="H78" s="14" t="n">
        <v>130.6</v>
      </c>
      <c r="I78" s="2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26"/>
      <c r="J79" s="28"/>
      <c r="L79" s="14"/>
      <c r="N79" s="28"/>
      <c r="P79" s="11"/>
      <c r="Q79" s="26"/>
      <c r="R79" s="35"/>
      <c r="T79" s="28"/>
    </row>
    <row r="80" customFormat="false" ht="12.75" hidden="false" customHeight="false" outlineLevel="0" collapsed="false">
      <c r="D80" s="16" t="s">
        <v>84</v>
      </c>
      <c r="H80" s="44" t="n">
        <f aca="false">+H26+H28+H30+H32+H34+H36+H49+H51+H53+H54+H55+H56+H59+H61+H64+H65+H66+H67+H73+H76+H69+H78</f>
        <v>371.1</v>
      </c>
      <c r="I80" s="12"/>
      <c r="J80" s="45" t="n">
        <f aca="false">+J26+J28+J49+J51+J53+J61</f>
        <v>914</v>
      </c>
      <c r="L80" s="44" t="n">
        <f aca="false">+L26+L28+L30+L32+L34+L36+L49+L51+L53+L54+L55+L56+L59+L61+L64+L65+L66+L67+L73+L76+L69+L78+L71</f>
        <v>313.2</v>
      </c>
      <c r="N80" s="45" t="n">
        <f aca="false">+N26+N28+N30+N32+N34+N36+N49+N51+N53+N54+N55+N56+N59+N61+N64+N65+N66+N67+N73+N76+N69+N78</f>
        <v>656</v>
      </c>
      <c r="P80" s="44" t="n">
        <f aca="false">+P26+P28+P30+P32+P34+P36+P49+P51+P53+P54+P55+P56+P59+P61+P64+P65+P66+P67+P73+P76+P69+P78</f>
        <v>181.7</v>
      </c>
      <c r="Q80" s="11" t="s">
        <v>10</v>
      </c>
      <c r="R80" s="46" t="n">
        <f aca="false">+R26+R28+R30+R32+R34+R36+R49+R51+R53+R54+R55+R56+R59+R61+R64+R65+R66+R67+R73+R76</f>
        <v>-181.74</v>
      </c>
      <c r="T80" s="4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26"/>
      <c r="G81" s="12"/>
      <c r="H81" s="11"/>
      <c r="I81" s="12"/>
      <c r="J81" s="46"/>
      <c r="K81" s="12"/>
      <c r="L81" s="11"/>
      <c r="N81" s="46"/>
      <c r="P81" s="46"/>
      <c r="R81" s="46"/>
      <c r="T81" s="46"/>
    </row>
    <row r="82" customFormat="false" ht="12.75" hidden="false" customHeight="false" outlineLevel="0" collapsed="false">
      <c r="E82" s="12"/>
      <c r="F82" s="2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6" t="s">
        <v>85</v>
      </c>
      <c r="E83" s="32"/>
      <c r="F83" s="26"/>
      <c r="G83" s="31" t="n">
        <f aca="false">G24</f>
        <v>875</v>
      </c>
      <c r="H83" s="47" t="n">
        <f aca="false">H80+H24</f>
        <v>726</v>
      </c>
      <c r="I83" s="41"/>
      <c r="J83" s="48" t="n">
        <f aca="false">J80+J24</f>
        <v>1661</v>
      </c>
      <c r="K83" s="32"/>
      <c r="L83" s="47" t="n">
        <f aca="false">L80+L24</f>
        <v>838</v>
      </c>
      <c r="N83" s="48" t="n">
        <f aca="false">N80+N24</f>
        <v>1214</v>
      </c>
      <c r="P83" s="47" t="n">
        <f aca="false">P80+P24</f>
        <v>227.7</v>
      </c>
      <c r="R83" s="47" t="n">
        <f aca="false">G83-P83</f>
        <v>647.3</v>
      </c>
      <c r="T83" s="48" t="n">
        <f aca="false">T80+T24</f>
        <v>850</v>
      </c>
    </row>
    <row r="84" customFormat="false" ht="12.75" hidden="false" customHeight="false" outlineLevel="0" collapsed="false">
      <c r="F84" s="2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86</v>
      </c>
      <c r="G85" s="26"/>
      <c r="H85" s="26"/>
      <c r="I85" s="26"/>
      <c r="J85" s="26"/>
      <c r="K85" s="26"/>
      <c r="L85" s="26"/>
      <c r="P85" s="26"/>
      <c r="Q85" s="26"/>
      <c r="R85" s="26"/>
      <c r="S85" s="26"/>
      <c r="T85" s="26"/>
    </row>
    <row r="86" customFormat="false" ht="12.75" hidden="false" customHeight="false" outlineLevel="0" collapsed="false">
      <c r="B86" s="0" t="s">
        <v>87</v>
      </c>
      <c r="G86" s="26"/>
      <c r="H86" s="26"/>
      <c r="I86" s="26"/>
      <c r="J86" s="26"/>
      <c r="K86" s="26"/>
      <c r="L86" s="26"/>
    </row>
    <row r="87" customFormat="false" ht="12.75" hidden="false" customHeight="false" outlineLevel="0" collapsed="false">
      <c r="B87" s="0" t="s">
        <v>88</v>
      </c>
      <c r="G87" s="26"/>
      <c r="H87" s="26"/>
      <c r="I87" s="26"/>
      <c r="J87" s="26"/>
      <c r="K87" s="26"/>
      <c r="L87" s="26"/>
    </row>
    <row r="88" customFormat="false" ht="12.75" hidden="false" customHeight="false" outlineLevel="0" collapsed="false">
      <c r="B88" s="0" t="s">
        <v>89</v>
      </c>
      <c r="G88" s="26"/>
      <c r="H88" s="26"/>
      <c r="I88" s="26"/>
      <c r="J88" s="26"/>
      <c r="K88" s="26"/>
      <c r="L88" s="2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22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193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128304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89100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+H10*0.2+6384</f>
        <v>24204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</v>
      </c>
      <c r="L11" s="59" t="n">
        <f aca="false">J11*K11</f>
        <v>48270.18125</v>
      </c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6162.47375</v>
      </c>
      <c r="I12" s="58"/>
      <c r="L12" s="59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15000</v>
      </c>
      <c r="I13" s="69" t="s">
        <v>125</v>
      </c>
      <c r="J13" s="70"/>
      <c r="K13" s="70"/>
      <c r="L13" s="71" t="n">
        <f aca="false">L8+L11</f>
        <v>176574.18125</v>
      </c>
      <c r="N13" s="67"/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</f>
        <v>0.00200000000016492</v>
      </c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871.358333333333</v>
      </c>
      <c r="N15" s="67"/>
      <c r="O15" s="67"/>
      <c r="P15" s="67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/>
      <c r="O16" s="67"/>
      <c r="P16" s="67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49.1666666666667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7"/>
      <c r="O17" s="67"/>
      <c r="P17" s="67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892.957666666667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7"/>
      <c r="O18" s="67"/>
      <c r="P18" s="67"/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910.086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0.133333333333333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1131.57425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1</v>
      </c>
      <c r="L22" s="49" t="n">
        <f aca="false">J22*K22</f>
        <v>89100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138321.752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</v>
      </c>
      <c r="L28" s="49" t="n">
        <f aca="false">SUM(L16:L27)*1.2</f>
        <v>106920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128304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:M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16.84"/>
    <col collapsed="false" customWidth="true" hidden="false" outlineLevel="0" max="15" min="15" style="0" width="15.85"/>
    <col collapsed="false" customWidth="true" hidden="fals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194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L28-H10</f>
        <v>1037520</v>
      </c>
      <c r="I8" s="58" t="s">
        <v>116</v>
      </c>
      <c r="J8" s="49" t="n">
        <v>0</v>
      </c>
      <c r="L8" s="59" t="n">
        <f aca="false">L30</f>
        <v>1351944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89100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L30-L28</f>
        <v>225324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7</v>
      </c>
      <c r="L11" s="59" t="n">
        <f aca="false">J11*K11</f>
        <v>337891.26875</v>
      </c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43137.31625</v>
      </c>
      <c r="I12" s="58"/>
      <c r="L12" s="59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(E13/$E$29)*$K$11</f>
        <v>38394.6984166667</v>
      </c>
      <c r="I13" s="69" t="s">
        <v>125</v>
      </c>
      <c r="J13" s="70"/>
      <c r="K13" s="70"/>
      <c r="L13" s="71" t="n">
        <f aca="false">L8+L11</f>
        <v>1689835.26875</v>
      </c>
      <c r="N13" s="67"/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</f>
        <v>0.0140000000011545</v>
      </c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6099.50833333333</v>
      </c>
      <c r="N15" s="67"/>
      <c r="O15" s="67"/>
      <c r="P15" s="67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/>
      <c r="O16" s="67"/>
      <c r="P16" s="67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344.166666666667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83"/>
      <c r="O17" s="83"/>
      <c r="P17" s="67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6250.70366666667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6370.602</v>
      </c>
      <c r="I19" s="49" t="s">
        <v>141</v>
      </c>
      <c r="J19" s="49" t="n">
        <v>57750</v>
      </c>
      <c r="K19" s="49" t="n">
        <v>1</v>
      </c>
      <c r="L19" s="49" t="n">
        <f aca="false">J19*K19</f>
        <v>57750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0.933333333333333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7921.01974999999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1</v>
      </c>
      <c r="L22" s="49" t="n">
        <f aca="false">J22*K22</f>
        <v>89100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1460462.96241667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2</v>
      </c>
      <c r="L24" s="49" t="n">
        <f aca="false">J24*K24</f>
        <v>286000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6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7</v>
      </c>
      <c r="L28" s="49" t="n">
        <f aca="false">SUM(L16:L27)*1.2</f>
        <v>1126620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7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1351944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6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195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e">
        <f aca="false">#REF!+#REF!+#REF!+'East Power Admins'!F8</f>
        <v>#REF!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9273600</v>
      </c>
      <c r="O8" s="64" t="e">
        <f aca="false">+F8/$F$29*$O$29</f>
        <v>#REF!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e">
        <f aca="false">#REF!+#REF!+#REF!+'East Power Admins'!F9</f>
        <v>#REF!</v>
      </c>
      <c r="H9" s="91" t="n">
        <f aca="false">E9/$E$23</f>
        <v>0.0716886497316311</v>
      </c>
      <c r="J9" s="88"/>
      <c r="K9" s="26"/>
      <c r="L9" s="26"/>
      <c r="M9" s="89"/>
      <c r="O9" s="64" t="e">
        <f aca="false">+F9/$F$29*$O$29</f>
        <v>#REF!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e">
        <f aca="false">#REF!+#REF!+#REF!+'East Power Admins'!F10</f>
        <v>#REF!</v>
      </c>
      <c r="H10" s="91" t="n">
        <f aca="false">E10/$E$23</f>
        <v>0.173657406666346</v>
      </c>
      <c r="J10" s="88"/>
      <c r="K10" s="26"/>
      <c r="L10" s="26"/>
      <c r="M10" s="89"/>
      <c r="O10" s="64" t="e">
        <f aca="false">+F10/$F$29*$O$29</f>
        <v>#REF!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e">
        <f aca="false">#REF!+#REF!+#REF!+'East Power Admins'!F11</f>
        <v>#REF!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64</v>
      </c>
      <c r="M11" s="92" t="n">
        <f aca="false">K11*L11</f>
        <v>2027275.64164539</v>
      </c>
      <c r="O11" s="64" t="e">
        <f aca="false">+F11/$F$29*$O$29</f>
        <v>#REF!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e">
        <f aca="false">#REF!+#REF!+#REF!+'East Power Admins'!F12</f>
        <v>#REF!</v>
      </c>
      <c r="H12" s="91" t="n">
        <f aca="false">E12/$E$23</f>
        <v>0.0437168934810347</v>
      </c>
      <c r="J12" s="88"/>
      <c r="K12" s="26"/>
      <c r="L12" s="26"/>
      <c r="M12" s="89"/>
      <c r="O12" s="64" t="e">
        <f aca="false">+F12/$F$29*$O$29</f>
        <v>#REF!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e">
        <f aca="false">#REF!+#REF!+#REF!+'East Power Admins'!F13</f>
        <v>#REF!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11300875.6416454</v>
      </c>
      <c r="O13" s="64" t="e">
        <f aca="false">+F13/$F$29*$O$29</f>
        <v>#REF!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e">
        <f aca="false">#REF!+#REF!+#REF!+'East Power Admins'!F14</f>
        <v>#REF!</v>
      </c>
      <c r="H14" s="91" t="n">
        <f aca="false">E14/$E$23</f>
        <v>2.98539034593965E-008</v>
      </c>
      <c r="N14" s="66"/>
      <c r="O14" s="64" t="e">
        <f aca="false">+F14/$F$29*$O$29</f>
        <v>#REF!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e">
        <f aca="false">#REF!+#REF!+#REF!+'East Power Admins'!F15</f>
        <v>#REF!</v>
      </c>
      <c r="H15" s="91" t="n">
        <f aca="false">E15/$E$23</f>
        <v>0.00732419404718382</v>
      </c>
      <c r="K15" s="49"/>
      <c r="O15" s="64" t="e">
        <f aca="false">+F15/$F$29*$O$29</f>
        <v>#REF!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e">
        <f aca="false">#REF!+#REF!+#REF!+'East Power Admins'!F16</f>
        <v>#REF!</v>
      </c>
      <c r="H16" s="91" t="n">
        <f aca="false">E16/$E$23</f>
        <v>0</v>
      </c>
      <c r="J16" s="0" t="s">
        <v>197</v>
      </c>
      <c r="K16" s="49" t="n">
        <v>33600</v>
      </c>
      <c r="L16" s="0" t="n">
        <v>2</v>
      </c>
      <c r="M16" s="49" t="n">
        <f aca="false">K16*L16</f>
        <v>67200</v>
      </c>
      <c r="O16" s="64" t="e">
        <f aca="false">+F16/$F$29*$O$29</f>
        <v>#REF!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e">
        <f aca="false">#REF!+#REF!+#REF!+'East Power Admins'!F17</f>
        <v>#REF!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2</v>
      </c>
      <c r="M17" s="49" t="n">
        <f aca="false">K17*L17</f>
        <v>105600</v>
      </c>
      <c r="O17" s="64" t="e">
        <f aca="false">+F17/$F$29*$O$29</f>
        <v>#REF!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e">
        <f aca="false">#REF!+#REF!+#REF!+'East Power Admins'!F18</f>
        <v>#REF!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f aca="false">1</f>
        <v>1</v>
      </c>
      <c r="M18" s="49" t="n">
        <f aca="false">K18*L18</f>
        <v>54000</v>
      </c>
      <c r="O18" s="64" t="e">
        <f aca="false">+F18/$F$29*$O$29</f>
        <v>#REF!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e">
        <f aca="false">#REF!+#REF!+#REF!+'East Power Admins'!F19</f>
        <v>#REF!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e">
        <f aca="false">+F19/$F$29*$O$29</f>
        <v>#REF!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e">
        <f aca="false">#REF!+#REF!+#REF!+'East Power Admins'!F20</f>
        <v>#REF!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f aca="false">6</f>
        <v>6</v>
      </c>
      <c r="M20" s="49" t="n">
        <f aca="false">K20*L20</f>
        <v>468000</v>
      </c>
      <c r="O20" s="64" t="e">
        <f aca="false">+F20/$F$29*$O$29</f>
        <v>#REF!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e">
        <f aca="false">#REF!+#REF!+#REF!+'East Power Admins'!F21</f>
        <v>#REF!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f aca="false">6</f>
        <v>6</v>
      </c>
      <c r="M21" s="49" t="n">
        <f aca="false">K21*L21</f>
        <v>396000</v>
      </c>
      <c r="O21" s="64" t="e">
        <f aca="false">+F21/$F$29*$O$29</f>
        <v>#REF!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e">
        <f aca="false">#REF!+#REF!+#REF!+'East Power Admins'!F22</f>
        <v>#REF!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f aca="false">10+1</f>
        <v>11</v>
      </c>
      <c r="M22" s="49" t="n">
        <f aca="false">K22*L22</f>
        <v>1069200</v>
      </c>
      <c r="O22" s="64" t="e">
        <f aca="false">+F22/$F$29*$O$29</f>
        <v>#REF!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e">
        <f aca="false">SUM(F8:F22)</f>
        <v>#REF!</v>
      </c>
      <c r="H23" s="97" t="n">
        <f aca="false">SUM(H8:H22)</f>
        <v>1</v>
      </c>
      <c r="J23" s="0" t="s">
        <v>153</v>
      </c>
      <c r="K23" s="49" t="n">
        <v>120000</v>
      </c>
      <c r="L23" s="0" t="n">
        <f aca="false">11+4</f>
        <v>15</v>
      </c>
      <c r="M23" s="49" t="n">
        <f aca="false">K23*L23</f>
        <v>1800000</v>
      </c>
      <c r="O23" s="96" t="e">
        <f aca="false">SUM(O8:O22)</f>
        <v>#REF!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f aca="false">2+4+7</f>
        <v>13</v>
      </c>
      <c r="M24" s="49" t="n">
        <f aca="false">K24*L24</f>
        <v>2028000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64" t="e">
        <f aca="false">#REF!+#REF!+#REF!+'East Power Admins'!F25</f>
        <v>#REF!</v>
      </c>
      <c r="J25" s="0" t="s">
        <v>155</v>
      </c>
      <c r="K25" s="49" t="n">
        <v>180000</v>
      </c>
      <c r="L25" s="0" t="n">
        <f aca="false">1</f>
        <v>1</v>
      </c>
      <c r="M25" s="49" t="n">
        <f aca="false">K25*L25</f>
        <v>180000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f aca="false">4+1</f>
        <v>5</v>
      </c>
      <c r="M26" s="49" t="n">
        <f aca="false">K26*L26</f>
        <v>1080000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64" t="e">
        <f aca="false">#REF!+#REF!+#REF!+'East Power Admins'!F27</f>
        <v>#REF!</v>
      </c>
      <c r="J27" s="0" t="s">
        <v>158</v>
      </c>
      <c r="K27" s="49" t="n">
        <v>240000</v>
      </c>
      <c r="L27" s="0" t="n">
        <v>2</v>
      </c>
      <c r="M27" s="49" t="n">
        <f aca="false">K27*L27</f>
        <v>480000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64</v>
      </c>
      <c r="M28" s="49" t="n">
        <f aca="false">SUM(M16:M27)</f>
        <v>7728000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e">
        <f aca="false">SUM(F25:F27)</f>
        <v>#REF!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64</v>
      </c>
      <c r="M34" s="80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true" hidden="true" outlineLevel="0" max="15" min="15" style="0" width="13.85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19" min="18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21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(L28-H10+17820)*1.2</f>
        <v>385704</v>
      </c>
      <c r="I8" s="58" t="s">
        <v>116</v>
      </c>
      <c r="J8" s="49" t="n">
        <v>0</v>
      </c>
      <c r="L8" s="59" t="n">
        <f aca="false">L30</f>
        <v>364320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(+H8*0.2)</f>
        <v>77140.8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2</v>
      </c>
      <c r="L11" s="59" t="n">
        <f aca="false">J11*K11</f>
        <v>96540.3625</v>
      </c>
      <c r="N11" s="67" t="s">
        <v>21</v>
      </c>
      <c r="O11" s="67" t="s">
        <v>199</v>
      </c>
      <c r="P11" s="67" t="s">
        <v>174</v>
      </c>
      <c r="Q11" s="67" t="s">
        <v>200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((E12/$E$29)*$K$11)*1.2</f>
        <v>14789.937</v>
      </c>
      <c r="I12" s="58"/>
      <c r="L12" s="59"/>
      <c r="N12" s="67" t="s">
        <v>21</v>
      </c>
      <c r="O12" s="67" t="s">
        <v>201</v>
      </c>
      <c r="P12" s="67" t="s">
        <v>177</v>
      </c>
      <c r="Q12" s="67" t="s">
        <v>200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((E13/$E$29)*$K$11)*1.2</f>
        <v>13163.8966</v>
      </c>
      <c r="I13" s="69" t="s">
        <v>125</v>
      </c>
      <c r="J13" s="70"/>
      <c r="K13" s="70"/>
      <c r="L13" s="71" t="n">
        <f aca="false">L8+L11</f>
        <v>460860.3625</v>
      </c>
      <c r="N13" s="67" t="s">
        <v>21</v>
      </c>
      <c r="O13" s="67" t="s">
        <v>202</v>
      </c>
      <c r="P13" s="67" t="s">
        <v>171</v>
      </c>
      <c r="Q13" s="67" t="s">
        <v>203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((E14/$E$29)*$K$11)*1.2</f>
        <v>0.00480000000039581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((E15/$E$29)*$K$11)*1.2</f>
        <v>2091.26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((E17/$E$29)*$K$11)*1.2</f>
        <v>118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((E18/$E$29)*$K$11)*1.2</f>
        <v>2143.0984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((E19/$E$29)*$K$11)*1.2</f>
        <v>2184.2064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((E20/$E$29)*$K$11)*1.2</f>
        <v>0.32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((E21/$E$29)*$K$11)*1.2</f>
        <v>2715.7782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500051.3014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2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2</v>
      </c>
      <c r="L28" s="49" t="n">
        <f aca="false">SUM(L16:L27)*1.2</f>
        <v>303600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2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364320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2</v>
      </c>
      <c r="L34" s="80" t="n">
        <f aca="false">+J34*K34</f>
        <v>96540.3625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0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204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918720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918720</v>
      </c>
      <c r="O8" s="64" t="n">
        <f aca="false">+F8/$F$29*$O$29</f>
        <v>183744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</f>
        <v>153120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5</v>
      </c>
      <c r="M11" s="92" t="n">
        <f aca="false">K11*L11</f>
        <v>158380.909503546</v>
      </c>
      <c r="O11" s="64" t="n">
        <f aca="false">+F11/$F$29*$O$29</f>
        <v>30624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(E12/$E$29*$L$11-8329.76)*1.2</f>
        <v>27890.7356595745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5578.14713191489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(E13/$E$29*$L$11-26933.92)*1.2</f>
        <v>36742.4728510638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1077100.90950355</v>
      </c>
      <c r="O13" s="64" t="n">
        <f aca="false">+F13/$F$29*$O$29</f>
        <v>7348.49457021277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(80000)*1.2</f>
        <v>96000</v>
      </c>
      <c r="H14" s="91" t="n">
        <f aca="false">E14/$E$23</f>
        <v>2.98539034593965E-008</v>
      </c>
      <c r="N14" s="66"/>
      <c r="O14" s="64" t="n">
        <f aca="false">+F14/$F$29*$O$29</f>
        <v>19200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6347.37906382979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1</v>
      </c>
      <c r="M16" s="49" t="n">
        <f aca="false">K16*L16</f>
        <v>33600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360.851063829787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19.5601702127657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33167.605106383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0</v>
      </c>
      <c r="M20" s="49" t="n">
        <f aca="false">K20*L20</f>
        <v>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43125.685106383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81.0376170212766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1315575.3266383</v>
      </c>
      <c r="H23" s="97" t="n">
        <f aca="false">SUM(H8:H22)</f>
        <v>1</v>
      </c>
      <c r="J23" s="0" t="s">
        <v>153</v>
      </c>
      <c r="K23" s="49" t="n">
        <v>120000</v>
      </c>
      <c r="L23" s="0" t="n">
        <v>0</v>
      </c>
      <c r="M23" s="49" t="n">
        <f aca="false">K23*L23</f>
        <v>0</v>
      </c>
      <c r="O23" s="96" t="n">
        <f aca="false">SUM(O8:O22)</f>
        <v>263115.06532766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2</v>
      </c>
      <c r="M24" s="49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5</v>
      </c>
      <c r="J25" s="0" t="s">
        <v>155</v>
      </c>
      <c r="K25" s="49" t="n">
        <v>180000</v>
      </c>
      <c r="L25" s="0" t="n">
        <v>1</v>
      </c>
      <c r="M25" s="49" t="n">
        <f aca="false">K25*L25</f>
        <v>180000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0</v>
      </c>
      <c r="M26" s="49" t="n">
        <f aca="false">K26*L26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1</v>
      </c>
      <c r="M27" s="49" t="n">
        <f aca="false">K27*L27</f>
        <v>240000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5</v>
      </c>
      <c r="M28" s="49" t="n">
        <f aca="false">SUM(M16:M27)</f>
        <v>765600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5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5</v>
      </c>
      <c r="M34" s="80" t="n">
        <f aca="false">+K34*L34</f>
        <v>158380.909503546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2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205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756000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756000</v>
      </c>
      <c r="O8" s="64" t="n">
        <f aca="false">+F8/$F$29*$O$29</f>
        <v>151200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151200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5</v>
      </c>
      <c r="M11" s="92" t="n">
        <f aca="false">K11*L11</f>
        <v>158380.909503546</v>
      </c>
      <c r="O11" s="64" t="n">
        <f aca="false">+F11/$F$29*$O$29</f>
        <v>30240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(E12/$E$29*$L$11-8329.76)*1.2</f>
        <v>27890.7356595745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5578.14713191489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(E13/$E$29*$L$11-26933.92)*1.2</f>
        <v>36742.4728510638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914380.909503546</v>
      </c>
      <c r="O13" s="64" t="n">
        <f aca="false">+F13/$F$29*$O$29</f>
        <v>7348.49457021277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(80000)*1.2</f>
        <v>96000</v>
      </c>
      <c r="H14" s="91" t="n">
        <f aca="false">E14/$E$23</f>
        <v>2.98539034593965E-008</v>
      </c>
      <c r="N14" s="66"/>
      <c r="O14" s="64" t="n">
        <f aca="false">+F14/$F$29*$O$29</f>
        <v>19200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6347.37906382979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360.851063829787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19.5601702127657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33167.605106383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1</v>
      </c>
      <c r="M20" s="49" t="n">
        <f aca="false">K20*L20</f>
        <v>78000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43125.685106383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81.0376170212766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1150935.3266383</v>
      </c>
      <c r="H23" s="97" t="n">
        <f aca="false">SUM(H8:H22)</f>
        <v>1</v>
      </c>
      <c r="J23" s="0" t="s">
        <v>153</v>
      </c>
      <c r="K23" s="49" t="n">
        <v>120000</v>
      </c>
      <c r="L23" s="0" t="n">
        <v>2</v>
      </c>
      <c r="M23" s="49" t="n">
        <f aca="false">K23*L23</f>
        <v>240000</v>
      </c>
      <c r="O23" s="96" t="n">
        <f aca="false">SUM(O8:O22)</f>
        <v>230187.06532766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2</v>
      </c>
      <c r="M24" s="49" t="n">
        <f aca="false">K24*L24</f>
        <v>312000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5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0</v>
      </c>
      <c r="M26" s="49" t="n">
        <f aca="false">K26*L26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5</v>
      </c>
      <c r="M28" s="49" t="n">
        <f aca="false">SUM(M16:M27)</f>
        <v>630000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5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5</v>
      </c>
      <c r="M34" s="80" t="n">
        <f aca="false">+K34*L34</f>
        <v>158380.909503546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25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1116000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1116000</v>
      </c>
      <c r="O8" s="64" t="n">
        <f aca="false">+F8/$F$29*$O$29</f>
        <v>159428.571428571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223200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7</v>
      </c>
      <c r="M11" s="92" t="n">
        <f aca="false">K11*L11</f>
        <v>221733.273304964</v>
      </c>
      <c r="O11" s="64" t="n">
        <f aca="false">+F11/$F$29*$O$29</f>
        <v>31885.7142857143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(E12/$E$29*$L$11-11974.03)*1.2</f>
        <v>38672.1907234043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5524.59867477204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(E13/$E$29*$L$11-38717.51)*1.2</f>
        <v>50227.4355914894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1337733.27330496</v>
      </c>
      <c r="O13" s="64" t="n">
        <f aca="false">+F13/$F$29*$O$29</f>
        <v>7175.34794164134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v>138000</v>
      </c>
      <c r="H14" s="91" t="n">
        <f aca="false">E14/$E$23</f>
        <v>2.98539034593965E-008</v>
      </c>
      <c r="N14" s="66"/>
      <c r="O14" s="64" t="n">
        <f aca="false">+F14/$F$29*$O$29</f>
        <v>19714.2857142857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8886.3306893617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505.191489361702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27.384238297872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3.91203404255315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46434.6471489362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1</v>
      </c>
      <c r="M20" s="49" t="n">
        <f aca="false">K20*L20</f>
        <v>78000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60375.9591489362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113.452663829787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1682442.59169362</v>
      </c>
      <c r="H23" s="97" t="n">
        <f aca="false">SUM(H8:H22)</f>
        <v>1</v>
      </c>
      <c r="J23" s="0" t="s">
        <v>153</v>
      </c>
      <c r="K23" s="49" t="n">
        <v>120000</v>
      </c>
      <c r="L23" s="0" t="n">
        <v>4</v>
      </c>
      <c r="M23" s="49" t="n">
        <f aca="false">K23*L23</f>
        <v>480000</v>
      </c>
      <c r="O23" s="96" t="n">
        <f aca="false">SUM(O8:O22)</f>
        <v>240348.941670517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1</v>
      </c>
      <c r="M24" s="49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7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1</v>
      </c>
      <c r="M26" s="49" t="n">
        <f aca="false">K26*L26</f>
        <v>216000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7</v>
      </c>
      <c r="M28" s="49" t="n">
        <f aca="false">SUM(M16:M27)</f>
        <v>930000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7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7</v>
      </c>
      <c r="M34" s="80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I12" activeCellId="0" sqref="A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4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26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590400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590400</v>
      </c>
      <c r="O8" s="64" t="n">
        <f aca="false">+F8/$F$29*$O$29</f>
        <v>147600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118080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4</v>
      </c>
      <c r="M11" s="92" t="n">
        <f aca="false">K11*L11</f>
        <v>126704.727602837</v>
      </c>
      <c r="O11" s="64" t="n">
        <f aca="false">+F11/$F$29*$O$29</f>
        <v>29520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(E12/$E$29*$L$11-6767.93)*1.2</f>
        <v>22187.6421276596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5546.91053191489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(E13/$E$29*$L$11-21883.81)*1.2</f>
        <v>28989.9694808511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717104.727602837</v>
      </c>
      <c r="O13" s="64" t="n">
        <f aca="false">+F13/$F$29*$O$29</f>
        <v>7247.49237021277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v>78000</v>
      </c>
      <c r="H14" s="91" t="n">
        <f aca="false">E14/$E$23</f>
        <v>2.98539034593965E-008</v>
      </c>
      <c r="N14" s="66"/>
      <c r="O14" s="64" t="n">
        <f aca="false">+F14/$F$29*$O$29</f>
        <v>19500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5077.90325106383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288.68085106383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15.6481361702126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26534.0840851064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2</v>
      </c>
      <c r="M20" s="49" t="n">
        <f aca="false">K20*L20</f>
        <v>156000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34500.5480851064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64.8300936170213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904139.306110638</v>
      </c>
      <c r="H23" s="97" t="n">
        <f aca="false">SUM(H8:H22)</f>
        <v>1</v>
      </c>
      <c r="J23" s="0" t="s">
        <v>153</v>
      </c>
      <c r="K23" s="49" t="n">
        <v>120000</v>
      </c>
      <c r="L23" s="0" t="n">
        <v>1</v>
      </c>
      <c r="M23" s="49" t="n">
        <f aca="false">K23*L23</f>
        <v>120000</v>
      </c>
      <c r="O23" s="96" t="n">
        <f aca="false">SUM(O8:O22)</f>
        <v>226034.82652766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0</v>
      </c>
      <c r="M24" s="49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1</v>
      </c>
      <c r="M26" s="49" t="n">
        <f aca="false">K26*L26</f>
        <v>216000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4</v>
      </c>
      <c r="M28" s="49" t="n">
        <f aca="false">SUM(M16:M27)</f>
        <v>492000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4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4</v>
      </c>
      <c r="M34" s="80" t="n">
        <f aca="false">+K34*L34</f>
        <v>126704.727602837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27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842400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842400</v>
      </c>
      <c r="O8" s="64" t="n">
        <f aca="false">+F8/$F$29*$O$29</f>
        <v>140400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168480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6</v>
      </c>
      <c r="M11" s="92" t="n">
        <f aca="false">K11*L11</f>
        <v>190057.091404255</v>
      </c>
      <c r="O11" s="64" t="n">
        <f aca="false">+F11/$F$29*$O$29</f>
        <v>28080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(E12/$E$29*$L$11-9891.59)*1.2</f>
        <v>33593.8291914894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5598.97153191489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(E13/$E$29*$L$11-31984.03)*1.2</f>
        <v>44494.9762212766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1032457.09140426</v>
      </c>
      <c r="O13" s="64" t="n">
        <f aca="false">+F13/$F$29*$O$29</f>
        <v>7415.82937021277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v>114000</v>
      </c>
      <c r="H14" s="91" t="n">
        <f aca="false">E14/$E$23</f>
        <v>2.98539034593965E-008</v>
      </c>
      <c r="N14" s="66"/>
      <c r="O14" s="64" t="n">
        <f aca="false">+F14/$F$29*$O$29</f>
        <v>19000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7616.85487659574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433.021276595745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23.4722042553189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1</v>
      </c>
      <c r="M18" s="49" t="n">
        <f aca="false">K18*L18</f>
        <v>54000</v>
      </c>
      <c r="O18" s="64" t="n">
        <f aca="false">+F18/$F$29*$O$29</f>
        <v>3.91203404255315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39801.1261276596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2</v>
      </c>
      <c r="M20" s="49" t="n">
        <f aca="false">K20*L20</f>
        <v>156000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51750.8221276596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97.2451404255319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1302691.34716596</v>
      </c>
      <c r="H23" s="97" t="n">
        <f aca="false">SUM(H8:H22)</f>
        <v>1</v>
      </c>
      <c r="J23" s="0" t="s">
        <v>153</v>
      </c>
      <c r="K23" s="49" t="n">
        <v>120000</v>
      </c>
      <c r="L23" s="0" t="n">
        <v>1</v>
      </c>
      <c r="M23" s="49" t="n">
        <f aca="false">K23*L23</f>
        <v>120000</v>
      </c>
      <c r="O23" s="96" t="n">
        <f aca="false">SUM(O8:O22)</f>
        <v>217115.22452766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1</v>
      </c>
      <c r="M24" s="49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6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1</v>
      </c>
      <c r="M26" s="49" t="n">
        <f aca="false">K26*L26</f>
        <v>216000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6</v>
      </c>
      <c r="M28" s="49" t="n">
        <f aca="false">SUM(M16:M27)</f>
        <v>702000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6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6</v>
      </c>
      <c r="M34" s="80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28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(M16+M17+M18+M19+M20+M23+M24+M26+M27+M25)*1.2</f>
        <v>691200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691200</v>
      </c>
      <c r="O8" s="64" t="n">
        <f aca="false">+F8/$F$29*$O$29</f>
        <v>172800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138240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4</v>
      </c>
      <c r="M11" s="92" t="n">
        <f aca="false">K11*L11</f>
        <v>126704.727602837</v>
      </c>
      <c r="O11" s="64" t="n">
        <f aca="false">+F11/$F$29*$O$29</f>
        <v>34560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(E12/$E$29*$L$11-6767.93)*1.2</f>
        <v>22187.6421276596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5546.91053191489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(E13/$E$29*$L$11-21883.81)*1.2</f>
        <v>28989.9694808511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817904.727602837</v>
      </c>
      <c r="O13" s="64" t="n">
        <f aca="false">+F13/$F$29*$O$29</f>
        <v>7247.49237021277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v>78000</v>
      </c>
      <c r="H14" s="91" t="n">
        <f aca="false">E14/$E$23</f>
        <v>2.98539034593965E-008</v>
      </c>
      <c r="N14" s="66"/>
      <c r="O14" s="64" t="n">
        <f aca="false">+F14/$F$29*$O$29</f>
        <v>19500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5077.90325106383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288.68085106383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15.6481361702126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26534.0840851064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v>0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0</v>
      </c>
      <c r="M20" s="49" t="n">
        <f aca="false">K20*L20</f>
        <v>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34500.5480851064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64.8300936170213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1025099.30611064</v>
      </c>
      <c r="H23" s="97" t="n">
        <f aca="false">SUM(H8:H22)</f>
        <v>1</v>
      </c>
      <c r="J23" s="0" t="s">
        <v>153</v>
      </c>
      <c r="K23" s="49" t="n">
        <v>120000</v>
      </c>
      <c r="L23" s="0" t="n">
        <v>3</v>
      </c>
      <c r="M23" s="49" t="n">
        <f aca="false">K23*L23</f>
        <v>360000</v>
      </c>
      <c r="O23" s="96" t="n">
        <f aca="false">SUM(O8:O22)</f>
        <v>256274.82652766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0</v>
      </c>
      <c r="M24" s="49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1</v>
      </c>
      <c r="M26" s="49" t="n">
        <f aca="false">K26*L26</f>
        <v>216000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4</v>
      </c>
      <c r="M28" s="49" t="n">
        <f aca="false">SUM(M16:M27)</f>
        <v>576000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4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4</v>
      </c>
      <c r="M34" s="80" t="n">
        <f aca="false">+K34*L34</f>
        <v>126704.727602837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3" min="13" style="0" width="9.85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104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771408</v>
      </c>
      <c r="I8" s="58" t="s">
        <v>116</v>
      </c>
      <c r="J8" s="49" t="n">
        <v>0</v>
      </c>
      <c r="L8" s="59" t="n">
        <f aca="false">L30</f>
        <v>985248</v>
      </c>
      <c r="M8" s="66"/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M10" s="66"/>
      <c r="N10" s="67"/>
      <c r="O10" s="67"/>
      <c r="P10" s="67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(+H8*0.2)</f>
        <v>154281.6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5</v>
      </c>
      <c r="L11" s="59" t="n">
        <f aca="false">J11*K11</f>
        <v>241350.90625</v>
      </c>
      <c r="M11" s="66"/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(15000+6000)*1.2</f>
        <v>25200</v>
      </c>
      <c r="I12" s="58"/>
      <c r="L12" s="59"/>
      <c r="M12" s="66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25200</v>
      </c>
      <c r="I13" s="69" t="s">
        <v>125</v>
      </c>
      <c r="J13" s="70"/>
      <c r="K13" s="70"/>
      <c r="L13" s="71" t="n">
        <f aca="false">L8+L11</f>
        <v>1226598.90625</v>
      </c>
      <c r="M13" s="66"/>
      <c r="N13" s="67" t="n">
        <v>1.2</v>
      </c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3600</v>
      </c>
      <c r="M14" s="66"/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14400</v>
      </c>
      <c r="M15" s="66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M16" s="66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177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M17" s="66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-0.152399999999616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M18" s="66"/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3276.3096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M19" s="66"/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0.48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M20" s="66"/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4320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M21" s="66"/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2</v>
      </c>
      <c r="L22" s="49" t="n">
        <f aca="false">J22*K22</f>
        <v>178200</v>
      </c>
      <c r="M22" s="66"/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1001863.2372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M23" s="76"/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3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5</v>
      </c>
      <c r="L28" s="49" t="n">
        <f aca="false">SUM(L16:L27)*1.2</f>
        <v>821040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3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985248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5</v>
      </c>
      <c r="L34" s="80" t="n">
        <f aca="false">+J34*K34</f>
        <v>241350.90625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9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29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(M16+M17+M18+M19+M20+M23+M24+M26+M27)*1.2</f>
        <v>2711520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2711520</v>
      </c>
      <c r="O8" s="64" t="n">
        <f aca="false">+F8/$F$29*$O$29</f>
        <v>169470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542304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16</v>
      </c>
      <c r="M11" s="92" t="n">
        <f aca="false">K11*L11</f>
        <v>506818.910411347</v>
      </c>
      <c r="O11" s="64" t="n">
        <f aca="false">+F11/$F$29*$O$29</f>
        <v>33894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(E12/$E$29*$L$11)*1.2</f>
        <v>121236.632510638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7577.28953191489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(E13/$E$29*$L$11+370363)*1.2</f>
        <v>665437.765923404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3218338.91041135</v>
      </c>
      <c r="O13" s="64" t="n">
        <f aca="false">+F13/$F$29*$O$29</f>
        <v>41589.8603702128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(E14/$E$29*$L$11)*1.2</f>
        <v>0.0827914893880803</v>
      </c>
      <c r="H14" s="91" t="n">
        <f aca="false">E14/$E$23</f>
        <v>2.98539034593965E-008</v>
      </c>
      <c r="N14" s="66"/>
      <c r="O14" s="64" t="n">
        <f aca="false">+F14/$F$29*$O$29</f>
        <v>0.00517446808675502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20311.6130042553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1</v>
      </c>
      <c r="M16" s="49" t="n">
        <f aca="false">K16*L16</f>
        <v>33600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1154.72340425532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62.5925446808503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106136.336340426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f aca="false">(E20/$E$29*$L$11)*1.2</f>
        <v>17.0332595744681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1</v>
      </c>
      <c r="M20" s="49" t="n">
        <f aca="false">K20*L20</f>
        <v>78000</v>
      </c>
      <c r="O20" s="64" t="n">
        <f aca="false">+F20/$F$29*$O$29</f>
        <v>1.06457872340426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138002.192340426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259.320374468085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4306442.29249362</v>
      </c>
      <c r="H23" s="97" t="n">
        <f aca="false">SUM(H8:H22)</f>
        <v>1</v>
      </c>
      <c r="J23" s="0" t="s">
        <v>153</v>
      </c>
      <c r="K23" s="49" t="n">
        <v>120000</v>
      </c>
      <c r="L23" s="0" t="n">
        <v>5</v>
      </c>
      <c r="M23" s="49" t="n">
        <f aca="false">K23*L23</f>
        <v>600000</v>
      </c>
      <c r="O23" s="96" t="n">
        <f aca="false">SUM(O8:O22)</f>
        <v>269152.643280851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7</v>
      </c>
      <c r="M24" s="49" t="n">
        <f aca="false">K24*L24</f>
        <v>1092000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16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1</v>
      </c>
      <c r="M26" s="49" t="n">
        <f aca="false">K26*L26</f>
        <v>216000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f aca="false">2-1</f>
        <v>1</v>
      </c>
      <c r="M27" s="49" t="n">
        <f aca="false">K27*L27</f>
        <v>240000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16</v>
      </c>
      <c r="M28" s="49" t="n">
        <f aca="false">SUM(M16:M27)</f>
        <v>2259600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16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16</v>
      </c>
      <c r="M34" s="80" t="n">
        <f aca="false">+K34*L34</f>
        <v>506818.910411348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19.41"/>
    <col collapsed="false" customWidth="true" hidden="true" outlineLevel="0" max="17" min="17" style="0" width="20.56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50" t="str">
        <f aca="false">'[6]Team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206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'[7]Executive Orig'!C8+[7]Trading!C8+[7]Origination!C8+'[7]Mid Market'!C8+[7]Services!C8+[7]Fundamentals!C8</f>
        <v>4789958.99</v>
      </c>
      <c r="E8" s="64" t="n">
        <f aca="false">(C8/9)*12</f>
        <v>6386611.98666667</v>
      </c>
      <c r="F8" s="64"/>
      <c r="G8" s="64" t="n">
        <f aca="false">(SUM(N16:N20,N23:N27))*1.2</f>
        <v>2588400</v>
      </c>
      <c r="H8" s="64"/>
      <c r="I8" s="91" t="n">
        <f aca="false">+G8/$G$23</f>
        <v>0.602497503081432</v>
      </c>
      <c r="K8" s="88" t="s">
        <v>116</v>
      </c>
      <c r="L8" s="49" t="n">
        <v>0</v>
      </c>
      <c r="M8" s="26" t="n">
        <v>64</v>
      </c>
      <c r="N8" s="92" t="n">
        <f aca="false">N28</f>
        <v>2588400</v>
      </c>
      <c r="O8" s="64" t="n">
        <f aca="false">+G8/$G$29*$O$29</f>
        <v>161775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'[7]Executive Orig'!C9+[7]Trading!C9+[7]Origination!C9+'[7]Mid Market'!C9+[7]Services!C9+[7]Fundamentals!C9</f>
        <v>1464000</v>
      </c>
      <c r="E9" s="64" t="n">
        <f aca="false">+C9</f>
        <v>1464000</v>
      </c>
      <c r="F9" s="64"/>
      <c r="G9" s="64" t="n">
        <v>0</v>
      </c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'[7]Executive Orig'!C10+[7]Trading!C10+[7]Origination!C10+'[7]Mid Market'!C10+[7]Services!C10+[7]Fundamentals!C10</f>
        <v>804567</v>
      </c>
      <c r="E10" s="64" t="n">
        <f aca="false">(C10/9)*12</f>
        <v>1072756</v>
      </c>
      <c r="F10" s="64"/>
      <c r="G10" s="64" t="n">
        <f aca="false">(+N21+N22)*1.2</f>
        <v>0</v>
      </c>
      <c r="H10" s="64"/>
      <c r="I10" s="91" t="n">
        <f aca="false">+G10/$G$23</f>
        <v>0</v>
      </c>
      <c r="K10" s="88"/>
      <c r="L10" s="26"/>
      <c r="M10" s="26"/>
      <c r="N10" s="89"/>
      <c r="O10" s="64" t="n">
        <f aca="false">+G10/$G$29*$O$29</f>
        <v>0</v>
      </c>
      <c r="P10" s="67"/>
      <c r="Q10" s="67"/>
      <c r="R10" s="67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'[7]Executive Orig'!C11+[7]Trading!C11+[7]Origination!C11+'[7]Mid Market'!C11+[7]Services!C11+[7]Fundamentals!C11</f>
        <v>1096068.21</v>
      </c>
      <c r="E11" s="64" t="n">
        <f aca="false">(C11/9)*12</f>
        <v>1461424.28</v>
      </c>
      <c r="F11" s="64"/>
      <c r="G11" s="64" t="n">
        <f aca="false">(+G8*0.2+(N21+N22)*0.2)*1.2</f>
        <v>621216</v>
      </c>
      <c r="H11" s="64"/>
      <c r="I11" s="91" t="n">
        <f aca="false">+G11/$G$23</f>
        <v>0.144599400739544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16</v>
      </c>
      <c r="N11" s="92" t="n">
        <f aca="false">L11*M11</f>
        <v>760541.684494382</v>
      </c>
      <c r="O11" s="64" t="n">
        <f aca="false">+G11/$G$29*$O$29</f>
        <v>38826</v>
      </c>
      <c r="P11" s="67"/>
      <c r="Q11" s="67"/>
      <c r="R11" s="67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'[7]Executive Orig'!C12+[7]Trading!C12+[7]Origination!C12+'[7]Mid Market'!C12+[7]Services!C12+[7]Fundamentals!C12</f>
        <v>658117.68</v>
      </c>
      <c r="E12" s="68" t="n">
        <f aca="false">((C12/9)*12)*1.2</f>
        <v>1052988.288</v>
      </c>
      <c r="F12" s="64"/>
      <c r="G12" s="64" t="n">
        <f aca="false">(+(100*12*16)+(500*12*11)+((10000/9)*4)+30000+25000+25000)*1.2+50000</f>
        <v>253573.333333333</v>
      </c>
      <c r="H12" s="64"/>
      <c r="I12" s="91" t="n">
        <f aca="false">+G12/$G$23</f>
        <v>0.0590238371895259</v>
      </c>
      <c r="K12" s="88"/>
      <c r="L12" s="26"/>
      <c r="M12" s="26"/>
      <c r="N12" s="89"/>
      <c r="O12" s="64" t="n">
        <f aca="false">+G12/$G$29*$O$29</f>
        <v>15848.3333333333</v>
      </c>
      <c r="P12" s="67"/>
      <c r="Q12" s="67"/>
      <c r="R12" s="67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'[7]Executive Orig'!C13+[7]Trading!C13+[7]Origination!C13+'[7]Mid Market'!C13+[7]Services!C13+[7]Fundamentals!C13</f>
        <v>719773.8</v>
      </c>
      <c r="E13" s="68" t="n">
        <f aca="false">((C13/9)*12)*1.2</f>
        <v>1151638.08</v>
      </c>
      <c r="F13" s="64"/>
      <c r="G13" s="64" t="n">
        <f aca="false">(+(3*1100*11)+(2*1100*5)+(8*1100*11)+(5*1100*5)+(16*300*6))*1.2</f>
        <v>240480</v>
      </c>
      <c r="H13" s="64"/>
      <c r="I13" s="91" t="n">
        <f aca="false">+G13/$G$23</f>
        <v>0.055976124069318</v>
      </c>
      <c r="K13" s="93" t="s">
        <v>125</v>
      </c>
      <c r="L13" s="94"/>
      <c r="M13" s="94"/>
      <c r="N13" s="95" t="n">
        <f aca="false">N8+N11</f>
        <v>3348941.68449438</v>
      </c>
      <c r="O13" s="64" t="n">
        <f aca="false">+G13/$G$29*$O$29</f>
        <v>15030</v>
      </c>
      <c r="P13" s="67"/>
      <c r="Q13" s="67"/>
      <c r="R13" s="67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'[7]Executive Orig'!C14+[7]Trading!C14+[7]Origination!C14+'[7]Mid Market'!C14+[7]Services!C14+[7]Fundamentals!C14-C32</f>
        <v>0.239999999757856</v>
      </c>
      <c r="E14" s="68" t="n">
        <f aca="false">((C14/9)*12)*1.2</f>
        <v>0.38399999961257</v>
      </c>
      <c r="F14" s="64"/>
      <c r="G14" s="64" t="n">
        <f aca="false">(120000+40000)*1.2</f>
        <v>192000</v>
      </c>
      <c r="H14" s="64"/>
      <c r="I14" s="91" t="n">
        <f aca="false">+G14/$G$23</f>
        <v>0.0446915162230084</v>
      </c>
      <c r="O14" s="64" t="n">
        <f aca="false">+G14/$G$29*$O$29</f>
        <v>12000</v>
      </c>
      <c r="P14" s="67"/>
      <c r="Q14" s="67"/>
      <c r="R14" s="67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'[7]Executive Orig'!C15+[7]Trading!C15+[7]Origination!C15+'[7]Mid Market'!C15+[7]Services!C15+[7]Fundamentals!C15</f>
        <v>128890.14</v>
      </c>
      <c r="E15" s="68" t="n">
        <f aca="false">((C15/9)*12)*1.2</f>
        <v>206224.224</v>
      </c>
      <c r="F15" s="64"/>
      <c r="G15" s="64" t="n">
        <v>55296</v>
      </c>
      <c r="H15" s="64"/>
      <c r="I15" s="91" t="n">
        <f aca="false">+G15/$G$23</f>
        <v>0.0128711566722264</v>
      </c>
      <c r="O15" s="64" t="n">
        <f aca="false">+G15/$G$29*$O$29</f>
        <v>3456</v>
      </c>
      <c r="P15" s="67"/>
      <c r="Q15" s="67"/>
      <c r="R15" s="67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'[7]Executive Orig'!C16+[7]Trading!C16+[7]Origination!C16+'[7]Mid Market'!C16+[7]Services!C16+[7]Fundamentals!C16</f>
        <v>0</v>
      </c>
      <c r="E16" s="68" t="n">
        <f aca="false">((C16/9)*12)*1.2</f>
        <v>0</v>
      </c>
      <c r="F16" s="64"/>
      <c r="G16" s="64" t="n">
        <v>24000</v>
      </c>
      <c r="H16" s="64"/>
      <c r="I16" s="91" t="n">
        <f aca="false">+G16/$G$23</f>
        <v>0.00558643952787605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1500</v>
      </c>
      <c r="P16" s="67"/>
      <c r="Q16" s="67"/>
      <c r="R16" s="67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'[7]Executive Orig'!C17+[7]Trading!C17+[7]Origination!C17+'[7]Mid Market'!C17+[7]Services!C17+[7]Fundamentals!C17</f>
        <v>11300</v>
      </c>
      <c r="E17" s="68" t="n">
        <f aca="false">((C17/9)*12)*1.2</f>
        <v>18080</v>
      </c>
      <c r="F17" s="64"/>
      <c r="G17" s="64" t="n">
        <v>7312.8</v>
      </c>
      <c r="H17" s="64"/>
      <c r="I17" s="91" t="n">
        <f aca="false">+G17/$G$23</f>
        <v>0.00170218812414383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457.05</v>
      </c>
      <c r="P17" s="67"/>
      <c r="Q17" s="67"/>
      <c r="R17" s="67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'[7]Executive Orig'!C18+[7]Trading!C18+[7]Origination!C18+'[7]Mid Market'!C18+[7]Services!C18+[7]Fundamentals!C18</f>
        <v>327447.74</v>
      </c>
      <c r="E18" s="68" t="n">
        <f aca="false">((C18/9)*12)*1.2</f>
        <v>523916.384</v>
      </c>
      <c r="F18" s="64"/>
      <c r="G18" s="64" t="n">
        <f aca="false">(+(75*12*16)+(3000*12)+(3000*12)+(500*12))*1.2</f>
        <v>110880</v>
      </c>
      <c r="H18" s="64"/>
      <c r="I18" s="91" t="n">
        <f aca="false">+G18/$G$23</f>
        <v>0.0258093506187873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6930</v>
      </c>
      <c r="P18" s="67"/>
      <c r="Q18" s="67"/>
      <c r="R18" s="67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'[7]Executive Orig'!C19+[7]Trading!C19+[7]Origination!C19+'[7]Mid Market'!C19+[7]Services!C19+[7]Fundamentals!C19</f>
        <v>155845.37</v>
      </c>
      <c r="E19" s="68" t="n">
        <f aca="false">((C19/9)*12)*1.2</f>
        <v>249352.592</v>
      </c>
      <c r="F19" s="64"/>
      <c r="G19" s="64" t="n">
        <f aca="false">((82000/15*11)+(22000/9*5))*1.2</f>
        <v>86826.6666666667</v>
      </c>
      <c r="H19" s="64"/>
      <c r="I19" s="91" t="n">
        <f aca="false">+G19/$G$23</f>
        <v>0.0202104967808494</v>
      </c>
      <c r="K19" s="0" t="s">
        <v>141</v>
      </c>
      <c r="L19" s="49" t="n">
        <v>63000</v>
      </c>
      <c r="M19" s="0" t="n">
        <f aca="false">5</f>
        <v>5</v>
      </c>
      <c r="N19" s="49" t="n">
        <f aca="false">L19*M19</f>
        <v>315000</v>
      </c>
      <c r="O19" s="64" t="n">
        <f aca="false">+G19/$G$29*$O$29</f>
        <v>5426.66666666667</v>
      </c>
      <c r="P19" s="67"/>
      <c r="Q19" s="67"/>
      <c r="R19" s="67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'[7]Executive Orig'!C20+[7]Trading!C20+[7]Origination!C20+'[7]Mid Market'!C20+[7]Services!C20+[7]Fundamentals!C20</f>
        <v>116.15</v>
      </c>
      <c r="E20" s="68" t="n">
        <f aca="false">((C20/9)*12)*1.2</f>
        <v>185.84</v>
      </c>
      <c r="F20" s="64"/>
      <c r="G20" s="64" t="n">
        <v>0</v>
      </c>
      <c r="H20" s="64"/>
      <c r="I20" s="91" t="n">
        <f aca="false">+G20/$G$23</f>
        <v>0</v>
      </c>
      <c r="K20" s="0" t="s">
        <v>144</v>
      </c>
      <c r="L20" s="49" t="n">
        <v>78000</v>
      </c>
      <c r="M20" s="0" t="n">
        <f aca="false">1</f>
        <v>1</v>
      </c>
      <c r="N20" s="49" t="n">
        <f aca="false">L20*M20</f>
        <v>78000</v>
      </c>
      <c r="O20" s="64" t="n">
        <f aca="false">+G20/$G$29*$O$29</f>
        <v>0</v>
      </c>
      <c r="P20" s="67"/>
      <c r="Q20" s="67"/>
      <c r="R20" s="67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'[7]Executive Orig'!C21+[7]Trading!C21+[7]Origination!C21+'[7]Mid Market'!C21+[7]Services!C21+[7]Fundamentals!C21</f>
        <v>566869.93</v>
      </c>
      <c r="E21" s="68" t="n">
        <f aca="false">((C21/9)*12)*1.2</f>
        <v>906991.888</v>
      </c>
      <c r="F21" s="64"/>
      <c r="G21" s="64" t="n">
        <v>90000</v>
      </c>
      <c r="H21" s="64"/>
      <c r="I21" s="91" t="n">
        <f aca="false">+G21/$G$23</f>
        <v>0.0209491482295352</v>
      </c>
      <c r="K21" s="0" t="s">
        <v>147</v>
      </c>
      <c r="L21" s="49" t="n">
        <v>66000</v>
      </c>
      <c r="M21" s="0" t="n">
        <v>0</v>
      </c>
      <c r="N21" s="49" t="n">
        <f aca="false">L21*M21</f>
        <v>0</v>
      </c>
      <c r="O21" s="64" t="n">
        <f aca="false">+G21/$G$29*$O$29</f>
        <v>5625</v>
      </c>
      <c r="P21" s="67"/>
      <c r="Q21" s="67"/>
      <c r="R21" s="67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'[7]Executive Orig'!C22+[7]Trading!C22+[7]Origination!C22+'[7]Mid Market'!C22+[7]Services!C22+[7]Fundamentals!C22</f>
        <v>75709.65</v>
      </c>
      <c r="E22" s="68" t="n">
        <f aca="false">((C22/9)*12)*1.2</f>
        <v>121135.44</v>
      </c>
      <c r="F22" s="64"/>
      <c r="G22" s="64" t="n">
        <f aca="false">(+E22/$E$29*$M$11)*1.2</f>
        <v>26132.5893033708</v>
      </c>
      <c r="H22" s="64"/>
      <c r="I22" s="91" t="n">
        <f aca="false">+G22/$G$23</f>
        <v>0.00608283874375422</v>
      </c>
      <c r="K22" s="0" t="s">
        <v>150</v>
      </c>
      <c r="L22" s="49" t="n">
        <v>97200</v>
      </c>
      <c r="M22" s="0" t="n">
        <v>0</v>
      </c>
      <c r="N22" s="49" t="n">
        <f aca="false">L22*M22</f>
        <v>0</v>
      </c>
      <c r="O22" s="64" t="n">
        <f aca="false">+G22/$G$29*$O$29</f>
        <v>1633.28683146067</v>
      </c>
      <c r="P22" s="67"/>
      <c r="Q22" s="67"/>
      <c r="R22" s="67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4296117.38930337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0</v>
      </c>
      <c r="N23" s="49" t="n">
        <f aca="false">L23*M23</f>
        <v>0</v>
      </c>
      <c r="O23" s="74" t="n">
        <f aca="false">SUM(O8:O22)</f>
        <v>268507.336831461</v>
      </c>
      <c r="P23" s="67"/>
      <c r="Q23" s="67"/>
      <c r="R23" s="67"/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v>7</v>
      </c>
      <c r="N24" s="49" t="n">
        <f aca="false">L24*M24</f>
        <v>1092000</v>
      </c>
      <c r="P24" s="67"/>
      <c r="Q24" s="67"/>
      <c r="R24" s="67"/>
    </row>
    <row r="25" customFormat="false" ht="12.75" hidden="false" customHeight="false" outlineLevel="0" collapsed="false">
      <c r="B25" s="73" t="s">
        <v>7</v>
      </c>
      <c r="C25" s="64"/>
      <c r="E25" s="77" t="n">
        <f aca="false">'[7]Executive Orig'!E25+[7]Trading!E25+[7]Origination!E25+'[7]Mid Market'!E25+[7]Services!E25+[7]Fundamentals!E25</f>
        <v>74</v>
      </c>
      <c r="F25" s="64"/>
      <c r="G25" s="77" t="n">
        <f aca="false">SUM(M16:M20,M23:M27)</f>
        <v>16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f aca="false">SUM(U16:U20,U23:U27)</f>
        <v>0</v>
      </c>
      <c r="P25" s="67"/>
      <c r="Q25" s="67"/>
      <c r="R25" s="67"/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2</v>
      </c>
      <c r="N26" s="49" t="n">
        <f aca="false">L26*M26</f>
        <v>432000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'[7]Executive Orig'!E27+[7]Trading!E27+[7]Origination!E27+'[7]Mid Market'!E27+[7]Services!E27+[7]Fundamentals!E27</f>
        <v>15</v>
      </c>
      <c r="F27" s="64"/>
      <c r="G27" s="77" t="n">
        <f aca="false">+M21+M22</f>
        <v>0</v>
      </c>
      <c r="H27" s="64"/>
      <c r="K27" s="0" t="s">
        <v>158</v>
      </c>
      <c r="L27" s="49" t="n">
        <v>240000</v>
      </c>
      <c r="M27" s="0" t="n">
        <v>1</v>
      </c>
      <c r="N27" s="49" t="n">
        <f aca="false">L27*M27</f>
        <v>240000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16</v>
      </c>
      <c r="N28" s="49" t="n">
        <f aca="false">SUM(N16:N27)*1.2</f>
        <v>2588400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f aca="false">+G27+G25</f>
        <v>16</v>
      </c>
      <c r="H29" s="64"/>
      <c r="I29" s="49"/>
      <c r="O29" s="77" t="n"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16</v>
      </c>
      <c r="N34" s="80" t="n">
        <f aca="false">+L34*M34</f>
        <v>760541.684494382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20.28"/>
    <col collapsed="false" customWidth="true" hidden="true" outlineLevel="0" max="17" min="17" style="0" width="20.85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50" t="str">
        <f aca="false">'[6]Team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209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'[7]Executive Orig'!C8+[7]Trading!C8+[7]Origination!C8+'[7]Mid Market'!C8+[7]Services!C8+[7]Fundamentals!C8</f>
        <v>4789958.99</v>
      </c>
      <c r="E8" s="64" t="n">
        <f aca="false">(C8/9)*12</f>
        <v>6386611.98666667</v>
      </c>
      <c r="F8" s="64"/>
      <c r="G8" s="64" t="n">
        <f aca="false">(SUM(N16:N20,N23:N27))*1.2</f>
        <v>2275200</v>
      </c>
      <c r="H8" s="64"/>
      <c r="I8" s="91" t="n">
        <f aca="false">+G8/$G$23</f>
        <v>0.558296710321971</v>
      </c>
      <c r="K8" s="88" t="s">
        <v>116</v>
      </c>
      <c r="L8" s="49" t="n">
        <v>0</v>
      </c>
      <c r="M8" s="26" t="n">
        <v>64</v>
      </c>
      <c r="N8" s="92" t="n">
        <f aca="false">N28</f>
        <v>2275200</v>
      </c>
      <c r="O8" s="64" t="n">
        <f aca="false">+G8/$G$29*$O$29</f>
        <v>189600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'[7]Executive Orig'!C9+[7]Trading!C9+[7]Origination!C9+'[7]Mid Market'!C9+[7]Services!C9+[7]Fundamentals!C9</f>
        <v>1464000</v>
      </c>
      <c r="E9" s="64" t="n">
        <f aca="false">+C9</f>
        <v>1464000</v>
      </c>
      <c r="F9" s="64"/>
      <c r="G9" s="64" t="n">
        <v>0</v>
      </c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'[7]Executive Orig'!C10+[7]Trading!C10+[7]Origination!C10+'[7]Mid Market'!C10+[7]Services!C10+[7]Fundamentals!C10</f>
        <v>804567</v>
      </c>
      <c r="E10" s="64" t="n">
        <f aca="false">(C10/9)*12</f>
        <v>1072756</v>
      </c>
      <c r="F10" s="64"/>
      <c r="G10" s="64" t="n">
        <f aca="false">(+N21+N22)*1.2</f>
        <v>0</v>
      </c>
      <c r="H10" s="64"/>
      <c r="I10" s="91" t="n">
        <f aca="false">+G10/$G$23</f>
        <v>0</v>
      </c>
      <c r="K10" s="88"/>
      <c r="L10" s="26"/>
      <c r="M10" s="26"/>
      <c r="N10" s="89"/>
      <c r="O10" s="64" t="n">
        <f aca="false">+G10/$G$29*$O$29</f>
        <v>0</v>
      </c>
      <c r="P10" s="67"/>
      <c r="Q10" s="67"/>
      <c r="R10" s="67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'[7]Executive Orig'!C11+[7]Trading!C11+[7]Origination!C11+'[7]Mid Market'!C11+[7]Services!C11+[7]Fundamentals!C11</f>
        <v>1096068.21</v>
      </c>
      <c r="E11" s="64" t="n">
        <f aca="false">(C11/9)*12</f>
        <v>1461424.28</v>
      </c>
      <c r="F11" s="64"/>
      <c r="G11" s="64" t="n">
        <f aca="false">(+G8*0.2+(N21+N22)*0.2)*1.2</f>
        <v>546048</v>
      </c>
      <c r="H11" s="64"/>
      <c r="I11" s="91" t="n">
        <f aca="false">+G11/$G$23</f>
        <v>0.133991210477273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12</v>
      </c>
      <c r="N11" s="92" t="n">
        <f aca="false">L11*M11</f>
        <v>570406.263370786</v>
      </c>
      <c r="O11" s="64" t="n">
        <f aca="false">+G11/$G$29*$O$29</f>
        <v>45504</v>
      </c>
      <c r="P11" s="67"/>
      <c r="Q11" s="67"/>
      <c r="R11" s="67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'[7]Executive Orig'!C12+[7]Trading!C12+[7]Origination!C12+'[7]Mid Market'!C12+[7]Services!C12+[7]Fundamentals!C12</f>
        <v>658117.68</v>
      </c>
      <c r="E12" s="68" t="n">
        <f aca="false">((C12/9)*12)*1.2</f>
        <v>1052988.288</v>
      </c>
      <c r="F12" s="64"/>
      <c r="G12" s="64" t="n">
        <f aca="false">(+E12/$E$29*$M$11)*1.2</f>
        <v>170371.138732584</v>
      </c>
      <c r="H12" s="64"/>
      <c r="I12" s="91" t="n">
        <f aca="false">+G12/$G$23</f>
        <v>0.0418062791351134</v>
      </c>
      <c r="K12" s="88"/>
      <c r="L12" s="26"/>
      <c r="M12" s="26"/>
      <c r="N12" s="89"/>
      <c r="O12" s="64" t="n">
        <f aca="false">+G12/$G$29*$O$29</f>
        <v>14197.594894382</v>
      </c>
      <c r="P12" s="67"/>
      <c r="Q12" s="67"/>
      <c r="R12" s="67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'[7]Executive Orig'!C13+[7]Trading!C13+[7]Origination!C13+'[7]Mid Market'!C13+[7]Services!C13+[7]Fundamentals!C13</f>
        <v>719773.8</v>
      </c>
      <c r="E13" s="68" t="n">
        <f aca="false">((C13/9)*12)*1.2</f>
        <v>1151638.08</v>
      </c>
      <c r="F13" s="64"/>
      <c r="G13" s="64" t="n">
        <f aca="false">(+(4000*12)*12)*1.2</f>
        <v>691200</v>
      </c>
      <c r="H13" s="64"/>
      <c r="I13" s="91" t="n">
        <f aca="false">+G13/$G$23</f>
        <v>0.169609127186422</v>
      </c>
      <c r="K13" s="93" t="s">
        <v>125</v>
      </c>
      <c r="L13" s="94"/>
      <c r="M13" s="94"/>
      <c r="N13" s="95" t="n">
        <f aca="false">N8+N11</f>
        <v>2845606.26337079</v>
      </c>
      <c r="O13" s="64" t="n">
        <f aca="false">+G13/$G$29*$O$29</f>
        <v>57600</v>
      </c>
      <c r="P13" s="67"/>
      <c r="Q13" s="67"/>
      <c r="R13" s="67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'[7]Executive Orig'!C14+[7]Trading!C14+[7]Origination!C14+'[7]Mid Market'!C14+[7]Services!C14+[7]Fundamentals!C14-C32</f>
        <v>0.239999999757856</v>
      </c>
      <c r="E14" s="68" t="n">
        <f aca="false">((C14/9)*12)*1.2</f>
        <v>0.38399999961257</v>
      </c>
      <c r="F14" s="64"/>
      <c r="G14" s="64" t="n">
        <v>60000</v>
      </c>
      <c r="H14" s="64"/>
      <c r="I14" s="91" t="n">
        <f aca="false">+G14/$G$23</f>
        <v>0.0147230145127102</v>
      </c>
      <c r="O14" s="64" t="n">
        <f aca="false">+G14/$G$29*$O$29</f>
        <v>5000</v>
      </c>
      <c r="P14" s="67"/>
      <c r="Q14" s="67"/>
      <c r="R14" s="67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'[7]Executive Orig'!C15+[7]Trading!C15+[7]Origination!C15+'[7]Mid Market'!C15+[7]Services!C15+[7]Fundamentals!C15</f>
        <v>128890.14</v>
      </c>
      <c r="E15" s="68" t="n">
        <f aca="false">((C15/9)*12)*1.2</f>
        <v>206224.224</v>
      </c>
      <c r="F15" s="64"/>
      <c r="G15" s="64" t="n">
        <v>38016</v>
      </c>
      <c r="H15" s="64"/>
      <c r="I15" s="91" t="n">
        <f aca="false">+G15/$G$23</f>
        <v>0.00932850199525319</v>
      </c>
      <c r="O15" s="64" t="n">
        <f aca="false">+G15/$G$29*$O$29</f>
        <v>3168</v>
      </c>
      <c r="P15" s="67"/>
      <c r="Q15" s="67"/>
      <c r="R15" s="67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'[7]Executive Orig'!C16+[7]Trading!C16+[7]Origination!C16+'[7]Mid Market'!C16+[7]Services!C16+[7]Fundamentals!C16</f>
        <v>0</v>
      </c>
      <c r="E16" s="68" t="n">
        <f aca="false">((C16/9)*12)*1.2</f>
        <v>0</v>
      </c>
      <c r="F16" s="64"/>
      <c r="G16" s="64" t="n">
        <f aca="false">(+E16/$E$29*$M$11)*1.2</f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0</v>
      </c>
      <c r="P16" s="67"/>
      <c r="Q16" s="67"/>
      <c r="R16" s="67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'[7]Executive Orig'!C17+[7]Trading!C17+[7]Origination!C17+'[7]Mid Market'!C17+[7]Services!C17+[7]Fundamentals!C17</f>
        <v>11300</v>
      </c>
      <c r="E17" s="68" t="n">
        <f aca="false">((C17/9)*12)*1.2</f>
        <v>18080</v>
      </c>
      <c r="F17" s="64"/>
      <c r="G17" s="64" t="n">
        <f aca="false">(+E17/$E$29*$M$11)*1.2</f>
        <v>2925.30337078652</v>
      </c>
      <c r="H17" s="64"/>
      <c r="I17" s="91" t="n">
        <f aca="false">+G17/$G$23</f>
        <v>0.000717821399702833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243.775280898876</v>
      </c>
      <c r="P17" s="67"/>
      <c r="Q17" s="67"/>
      <c r="R17" s="67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'[7]Executive Orig'!C18+[7]Trading!C18+[7]Origination!C18+'[7]Mid Market'!C18+[7]Services!C18+[7]Fundamentals!C18</f>
        <v>327447.74</v>
      </c>
      <c r="E18" s="68" t="n">
        <f aca="false">((C18/9)*12)*1.2</f>
        <v>523916.384</v>
      </c>
      <c r="F18" s="64"/>
      <c r="G18" s="64" t="n">
        <f aca="false">(+E18/$E$29*$M$11)*1.2</f>
        <v>84768.4935910112</v>
      </c>
      <c r="H18" s="64"/>
      <c r="I18" s="91" t="n">
        <f aca="false">+G18/$G$23</f>
        <v>0.020800796022684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7064.04113258427</v>
      </c>
      <c r="P18" s="67"/>
      <c r="Q18" s="67"/>
      <c r="R18" s="67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'[7]Executive Orig'!C19+[7]Trading!C19+[7]Origination!C19+'[7]Mid Market'!C19+[7]Services!C19+[7]Fundamentals!C19</f>
        <v>155845.37</v>
      </c>
      <c r="E19" s="68" t="n">
        <f aca="false">((C19/9)*12)*1.2</f>
        <v>249352.592</v>
      </c>
      <c r="F19" s="64"/>
      <c r="G19" s="64" t="n">
        <f aca="false">(+E19/$E$29*$M$11)*1.2</f>
        <v>40344.6890426966</v>
      </c>
      <c r="H19" s="64"/>
      <c r="I19" s="91" t="n">
        <f aca="false">+G19/$G$23</f>
        <v>0.00989992403810672</v>
      </c>
      <c r="K19" s="0" t="s">
        <v>141</v>
      </c>
      <c r="L19" s="49" t="n">
        <v>63000</v>
      </c>
      <c r="M19" s="0" t="n">
        <v>0</v>
      </c>
      <c r="N19" s="49" t="n">
        <f aca="false">L19*M19</f>
        <v>0</v>
      </c>
      <c r="O19" s="64" t="n">
        <f aca="false">+G19/$G$29*$O$29</f>
        <v>3362.05742022472</v>
      </c>
      <c r="P19" s="67"/>
      <c r="Q19" s="67"/>
      <c r="R19" s="67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'[7]Executive Orig'!C20+[7]Trading!C20+[7]Origination!C20+'[7]Mid Market'!C20+[7]Services!C20+[7]Fundamentals!C20</f>
        <v>116.15</v>
      </c>
      <c r="E20" s="68" t="n">
        <f aca="false">((C20/9)*12)*1.2</f>
        <v>185.84</v>
      </c>
      <c r="F20" s="64"/>
      <c r="G20" s="64" t="n">
        <f aca="false">(+E20/$E$29*$M$11)*1.2</f>
        <v>30.0684943820225</v>
      </c>
      <c r="H20" s="64"/>
      <c r="I20" s="91" t="n">
        <f aca="false">+G20/$G$23</f>
        <v>7.3783146526977E-006</v>
      </c>
      <c r="K20" s="0" t="s">
        <v>144</v>
      </c>
      <c r="L20" s="49" t="n">
        <v>78000</v>
      </c>
      <c r="M20" s="0" t="n">
        <v>0</v>
      </c>
      <c r="N20" s="49" t="n">
        <f aca="false">L20*M20</f>
        <v>0</v>
      </c>
      <c r="O20" s="64" t="n">
        <f aca="false">+G20/$G$29*$O$29</f>
        <v>2.50570786516854</v>
      </c>
      <c r="P20" s="67"/>
      <c r="Q20" s="67"/>
      <c r="R20" s="67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'[7]Executive Orig'!C21+[7]Trading!C21+[7]Origination!C21+'[7]Mid Market'!C21+[7]Services!C21+[7]Fundamentals!C21</f>
        <v>566869.93</v>
      </c>
      <c r="E21" s="68" t="n">
        <f aca="false">((C21/9)*12)*1.2</f>
        <v>906991.888</v>
      </c>
      <c r="F21" s="64"/>
      <c r="G21" s="64" t="n">
        <f aca="false">(+E21/$E$29*$M$11)*1.2</f>
        <v>146749.249294382</v>
      </c>
      <c r="H21" s="64"/>
      <c r="I21" s="91" t="n">
        <f aca="false">+G21/$G$23</f>
        <v>0.0360098554515086</v>
      </c>
      <c r="K21" s="0" t="s">
        <v>147</v>
      </c>
      <c r="L21" s="49" t="n">
        <v>66000</v>
      </c>
      <c r="M21" s="0" t="n">
        <v>0</v>
      </c>
      <c r="N21" s="49" t="n">
        <f aca="false">L21*M21</f>
        <v>0</v>
      </c>
      <c r="O21" s="64" t="n">
        <f aca="false">+G21/$G$29*$O$29</f>
        <v>12229.1041078652</v>
      </c>
      <c r="P21" s="67"/>
      <c r="Q21" s="67"/>
      <c r="R21" s="67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'[7]Executive Orig'!C22+[7]Trading!C22+[7]Origination!C22+'[7]Mid Market'!C22+[7]Services!C22+[7]Fundamentals!C22</f>
        <v>75709.65</v>
      </c>
      <c r="E22" s="68" t="n">
        <f aca="false">((C22/9)*12)*1.2</f>
        <v>121135.44</v>
      </c>
      <c r="F22" s="64"/>
      <c r="G22" s="64" t="n">
        <f aca="false">(+E22/$E$29*$M$11)*1.2</f>
        <v>19599.4419775281</v>
      </c>
      <c r="H22" s="64"/>
      <c r="I22" s="91" t="n">
        <f aca="false">+G22/$G$23</f>
        <v>0.00480938114460279</v>
      </c>
      <c r="K22" s="0" t="s">
        <v>150</v>
      </c>
      <c r="L22" s="49" t="n">
        <v>97200</v>
      </c>
      <c r="M22" s="0" t="n">
        <v>0</v>
      </c>
      <c r="N22" s="49" t="n">
        <f aca="false">L22*M22</f>
        <v>0</v>
      </c>
      <c r="O22" s="64" t="n">
        <f aca="false">+G22/$G$29*$O$29</f>
        <v>1633.28683146067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4075252.38450337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5</v>
      </c>
      <c r="N23" s="49" t="n">
        <f aca="false">L23*M23</f>
        <v>600000</v>
      </c>
      <c r="O23" s="74" t="n">
        <f aca="false">SUM(O8:O22)</f>
        <v>339604.365375281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v>4</v>
      </c>
      <c r="N24" s="49" t="n">
        <f aca="false">L24*M24</f>
        <v>624000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'[7]Executive Orig'!E25+[7]Trading!E25+[7]Origination!E25+'[7]Mid Market'!E25+[7]Services!E25+[7]Fundamentals!E25</f>
        <v>74</v>
      </c>
      <c r="F25" s="64"/>
      <c r="G25" s="77" t="n">
        <f aca="false">SUM(M16:M20,M23:M27)</f>
        <v>12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2</v>
      </c>
      <c r="N26" s="49" t="n">
        <f aca="false">L26*M26</f>
        <v>432000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'[7]Executive Orig'!E27+[7]Trading!E27+[7]Origination!E27+'[7]Mid Market'!E27+[7]Services!E27+[7]Fundamentals!E27</f>
        <v>15</v>
      </c>
      <c r="F27" s="64"/>
      <c r="G27" s="77" t="n">
        <f aca="false">+M21+M22</f>
        <v>0</v>
      </c>
      <c r="H27" s="64"/>
      <c r="K27" s="0" t="s">
        <v>158</v>
      </c>
      <c r="L27" s="49" t="n">
        <v>240000</v>
      </c>
      <c r="M27" s="0" t="n">
        <v>1</v>
      </c>
      <c r="N27" s="49" t="n">
        <f aca="false">L27*M27</f>
        <v>240000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12</v>
      </c>
      <c r="N28" s="49" t="n">
        <f aca="false">SUM(N16:N27)*1.2</f>
        <v>2275200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f aca="false">+G27+G25</f>
        <v>12</v>
      </c>
      <c r="H29" s="64"/>
      <c r="I29" s="49"/>
      <c r="O29" s="77" t="n"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12</v>
      </c>
      <c r="N34" s="80" t="n">
        <f aca="false">+L34*M34</f>
        <v>570406.263370786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R144" activeCellId="0" sqref="R1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50" t="str">
        <f aca="false">'[8]Team Report'!B1</f>
        <v>Enron North America</v>
      </c>
      <c r="C1" s="50"/>
      <c r="D1" s="50"/>
      <c r="E1" s="50"/>
      <c r="F1" s="50"/>
      <c r="G1" s="50"/>
      <c r="H1" s="52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210</v>
      </c>
      <c r="C2" s="50"/>
      <c r="D2" s="50"/>
      <c r="E2" s="50"/>
      <c r="F2" s="50"/>
      <c r="G2" s="50"/>
      <c r="H2" s="52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H4" s="85"/>
      <c r="I4" s="56"/>
      <c r="J4" s="86"/>
      <c r="K4" s="87"/>
    </row>
    <row r="5" customFormat="false" ht="12.75" hidden="false" customHeight="false" outlineLevel="0" collapsed="false">
      <c r="H5" s="88"/>
      <c r="I5" s="49" t="s">
        <v>105</v>
      </c>
      <c r="J5" s="26" t="s">
        <v>106</v>
      </c>
      <c r="K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110</v>
      </c>
      <c r="G6" s="60" t="s">
        <v>110</v>
      </c>
      <c r="H6" s="88"/>
      <c r="J6" s="26"/>
      <c r="K6" s="89"/>
      <c r="O6" s="100" t="n">
        <v>2002</v>
      </c>
      <c r="AK6" s="10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H7" s="88"/>
      <c r="J7" s="26"/>
      <c r="K7" s="89"/>
      <c r="O7" s="61" t="s">
        <v>114</v>
      </c>
      <c r="AK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+'[9]Natural Gas'!C8+[9]Ontario!C8+[9]Finance!C8+[9]Executive!C8+[9]Alberta!C8</f>
        <v>2855922.03</v>
      </c>
      <c r="E8" s="64" t="n">
        <f aca="false">+'[9]Natural Gas'!E8+[9]Ontario!E8+[9]Finance!E8+[9]Executive!E8+[9]Alberta!E8</f>
        <v>3807896.04</v>
      </c>
      <c r="G8" s="64" t="n">
        <f aca="false">(K28-G10-137496-390504)*1.2</f>
        <v>720000</v>
      </c>
      <c r="H8" s="88" t="s">
        <v>116</v>
      </c>
      <c r="I8" s="49" t="n">
        <v>0</v>
      </c>
      <c r="J8" s="26"/>
      <c r="K8" s="92" t="n">
        <f aca="false">K28</f>
        <v>1128000</v>
      </c>
      <c r="O8" s="64" t="n">
        <f aca="false">+G8/$G$29*$O$29</f>
        <v>144000</v>
      </c>
      <c r="AK8" s="64"/>
    </row>
    <row r="9" customFormat="false" ht="12.75" hidden="true" customHeight="false" outlineLevel="0" collapsed="false">
      <c r="A9" s="62"/>
      <c r="B9" s="63" t="s">
        <v>117</v>
      </c>
      <c r="C9" s="64" t="n">
        <f aca="false">+'[9]Natural Gas'!C9+[9]Ontario!C9+[9]Finance!C9+[9]Executive!C9+[9]Alberta!C9</f>
        <v>0</v>
      </c>
      <c r="E9" s="64" t="n">
        <f aca="false">+'[9]Natural Gas'!E9+[9]Ontario!E9+[9]Finance!E9+[9]Executive!E9+[9]Alberta!E9</f>
        <v>0</v>
      </c>
      <c r="G9" s="64" t="n">
        <v>0</v>
      </c>
      <c r="H9" s="88"/>
      <c r="J9" s="26"/>
      <c r="K9" s="89"/>
      <c r="O9" s="64" t="n">
        <f aca="false">+G9/$G$29*$O$29</f>
        <v>0</v>
      </c>
      <c r="AK9" s="64"/>
    </row>
    <row r="10" customFormat="false" ht="12.75" hidden="false" customHeight="false" outlineLevel="0" collapsed="false">
      <c r="A10" s="62"/>
      <c r="B10" s="63" t="s">
        <v>211</v>
      </c>
      <c r="C10" s="64" t="n">
        <v>0</v>
      </c>
      <c r="E10" s="64" t="n">
        <v>0</v>
      </c>
      <c r="G10" s="64" t="n">
        <f aca="false">(K22+K21)*1.2</f>
        <v>0</v>
      </c>
      <c r="H10" s="88"/>
      <c r="J10" s="26"/>
      <c r="K10" s="89"/>
      <c r="O10" s="64" t="n">
        <f aca="false">+G10/$G$29*$O$29</f>
        <v>0</v>
      </c>
      <c r="AK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+'[9]Natural Gas'!C11+[9]Ontario!C11+[9]Finance!C11+[9]Executive!C10+[9]Alberta!C11</f>
        <v>312682.37</v>
      </c>
      <c r="E11" s="64" t="n">
        <f aca="false">+'[9]Natural Gas'!E11+[9]Ontario!E11+[9]Finance!E11+[9]Executive!E10+[9]Alberta!E11</f>
        <v>416909.826666667</v>
      </c>
      <c r="G11" s="64" t="n">
        <f aca="false">(G8*0.3105+52-96352)*1.2</f>
        <v>152712</v>
      </c>
      <c r="H11" s="88" t="s">
        <v>78</v>
      </c>
      <c r="I11" s="80" t="n">
        <f aca="false">(E12+E13+E14+E15+E16+E17+E18+E19+E20+E21+E22)/E29</f>
        <v>31253.50784</v>
      </c>
      <c r="J11" s="26" t="n">
        <f aca="false">J28</f>
        <v>7</v>
      </c>
      <c r="K11" s="92" t="n">
        <f aca="false">I11*J11</f>
        <v>218774.55488</v>
      </c>
      <c r="O11" s="64" t="n">
        <f aca="false">+G11/$G$29*$O$29</f>
        <v>30542.4</v>
      </c>
      <c r="AK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+'[9]Natural Gas'!C12+[9]Ontario!C12+[9]Finance!C12+[9]Executive!C12+[9]Alberta!C12</f>
        <v>67320.13</v>
      </c>
      <c r="E12" s="68" t="n">
        <f aca="false">(+'[9]Natural Gas'!E12+[9]Ontario!E12+[9]Finance!E12+[9]Executive!E12+[9]Alberta!E12)*1.2</f>
        <v>107712.208</v>
      </c>
      <c r="G12" s="64" t="n">
        <f aca="false">((E12/$E$29)*$G$29)*1.2</f>
        <v>12925.46496</v>
      </c>
      <c r="H12" s="88"/>
      <c r="J12" s="26"/>
      <c r="K12" s="89"/>
      <c r="O12" s="64" t="n">
        <f aca="false">+G12/$G$29*$O$29</f>
        <v>2585.092992</v>
      </c>
      <c r="AK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+'[9]Natural Gas'!C13+[9]Ontario!C13+[9]Finance!C13+[9]Executive!C13+[9]Alberta!C13</f>
        <v>297871.84</v>
      </c>
      <c r="E13" s="68" t="n">
        <f aca="false">(+'[9]Natural Gas'!E13+[9]Ontario!E13+[9]Finance!E13+[9]Executive!E13+[9]Alberta!E13)*1.2</f>
        <v>476594.944</v>
      </c>
      <c r="G13" s="64" t="n">
        <f aca="false">((E13/$E$29)*$G$29)*1.2</f>
        <v>57191.39328</v>
      </c>
      <c r="H13" s="93" t="s">
        <v>125</v>
      </c>
      <c r="I13" s="70"/>
      <c r="J13" s="94"/>
      <c r="K13" s="95" t="n">
        <f aca="false">K8+K11</f>
        <v>1346774.55488</v>
      </c>
      <c r="O13" s="64" t="n">
        <f aca="false">+G13/$G$29*$O$29</f>
        <v>11438.278656</v>
      </c>
      <c r="AK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+'[9]Natural Gas'!C14+[9]Ontario!C14+[9]Finance!C14+[9]Executive!C14+[9]Alberta!C14</f>
        <v>505739.98</v>
      </c>
      <c r="E14" s="68" t="n">
        <f aca="false">(+'[9]Natural Gas'!E14+[9]Ontario!E14+[9]Finance!E14+[9]Executive!E14+[9]Alberta!E14)*1.2</f>
        <v>809183.968</v>
      </c>
      <c r="G14" s="64" t="n">
        <f aca="false">((E14/$E$29)*$G$29)*1.2</f>
        <v>97102.07616</v>
      </c>
      <c r="O14" s="64" t="n">
        <f aca="false">+G14/$G$29*$O$29</f>
        <v>19420.415232</v>
      </c>
      <c r="AK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+'[9]Natural Gas'!C15+[9]Ontario!C15+[9]Finance!C15+[9]Executive!C15+[9]Alberta!C15</f>
        <v>6427.42</v>
      </c>
      <c r="E15" s="68" t="n">
        <f aca="false">(+'[9]Natural Gas'!E15+[9]Ontario!E15+[9]Finance!E15+[9]Executive!E15+[9]Alberta!E15)*1.2</f>
        <v>10283.872</v>
      </c>
      <c r="G15" s="64" t="n">
        <f aca="false">((E15/$E$29)*$G$29)*1.2</f>
        <v>1234.06464</v>
      </c>
      <c r="O15" s="64" t="n">
        <f aca="false">+G15/$G$29*$O$29</f>
        <v>246.812928</v>
      </c>
      <c r="AK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+'[9]Natural Gas'!C16+[9]Ontario!C16+[9]Finance!C16+[9]Executive!C16+[9]Alberta!C16</f>
        <v>0</v>
      </c>
      <c r="E16" s="68" t="n">
        <f aca="false">(+'[9]Natural Gas'!E16+[9]Ontario!E16+[9]Finance!E16+[9]Executive!E16+[9]Alberta!E16)*1.2</f>
        <v>0</v>
      </c>
      <c r="G16" s="64" t="n">
        <f aca="false">((E16/$E$29)*$G$29)*1.2</f>
        <v>0</v>
      </c>
      <c r="H16" s="0" t="s">
        <v>197</v>
      </c>
      <c r="I16" s="49" t="n">
        <v>33600</v>
      </c>
      <c r="J16" s="0" t="n">
        <v>0</v>
      </c>
      <c r="K16" s="0" t="n">
        <f aca="false">I16*J16</f>
        <v>0</v>
      </c>
      <c r="O16" s="64" t="n">
        <f aca="false">+G16/$G$29*$O$29</f>
        <v>0</v>
      </c>
      <c r="AK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+'[9]Natural Gas'!C17+[9]Ontario!C17+[9]Finance!C17+[9]Executive!C17+[9]Alberta!C17</f>
        <v>1883.62</v>
      </c>
      <c r="E17" s="68" t="n">
        <f aca="false">(+'[9]Natural Gas'!E17+[9]Ontario!E17+[9]Finance!E17+[9]Executive!E17+[9]Alberta!E17)*1.2</f>
        <v>3013.792</v>
      </c>
      <c r="G17" s="64" t="n">
        <f aca="false">((E17/$E$29)*$G$29)*1.2</f>
        <v>361.65504</v>
      </c>
      <c r="H17" s="0" t="s">
        <v>135</v>
      </c>
      <c r="I17" s="49" t="n">
        <v>52800</v>
      </c>
      <c r="J17" s="0" t="n">
        <v>0</v>
      </c>
      <c r="K17" s="0" t="n">
        <f aca="false">I17*J17</f>
        <v>0</v>
      </c>
      <c r="O17" s="64" t="n">
        <f aca="false">+G17/$G$29*$O$29</f>
        <v>72.331008</v>
      </c>
      <c r="AK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+'[9]Natural Gas'!C18+[9]Ontario!C18+[9]Finance!C18+[9]Executive!C18+[9]Alberta!C18</f>
        <v>19208.42</v>
      </c>
      <c r="E18" s="68" t="n">
        <f aca="false">(+'[9]Natural Gas'!E18+[9]Ontario!E18+[9]Finance!E18+[9]Executive!E18+[9]Alberta!E18)*1.2</f>
        <v>30733.472</v>
      </c>
      <c r="G18" s="64" t="n">
        <f aca="false">((E18/$E$29)*$G$29)*1.2</f>
        <v>3688.01664</v>
      </c>
      <c r="H18" s="0" t="s">
        <v>138</v>
      </c>
      <c r="I18" s="49" t="n">
        <v>54000</v>
      </c>
      <c r="J18" s="0" t="n">
        <v>0</v>
      </c>
      <c r="K18" s="0" t="n">
        <f aca="false">I18*J18</f>
        <v>0</v>
      </c>
      <c r="O18" s="64" t="n">
        <f aca="false">+G18/$G$29*$O$29</f>
        <v>737.603328</v>
      </c>
      <c r="AK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+'[9]Natural Gas'!C19+[9]Ontario!C19+[9]Finance!C19+[9]Executive!C19+[9]Alberta!C19</f>
        <v>52344.84</v>
      </c>
      <c r="E19" s="68" t="n">
        <f aca="false">(+'[9]Natural Gas'!E19+[9]Ontario!E19+[9]Finance!E19+[9]Executive!E19+[9]Alberta!E19)*1.2</f>
        <v>83751.744</v>
      </c>
      <c r="G19" s="64" t="n">
        <f aca="false">((E19/$E$29)*$G$29)*1.2</f>
        <v>10050.20928</v>
      </c>
      <c r="H19" s="0" t="s">
        <v>141</v>
      </c>
      <c r="I19" s="49" t="n">
        <v>63000</v>
      </c>
      <c r="J19" s="0" t="n">
        <v>0</v>
      </c>
      <c r="K19" s="0" t="n">
        <f aca="false">I19*J19</f>
        <v>0</v>
      </c>
      <c r="O19" s="64" t="n">
        <f aca="false">+G19/$G$29*$O$29</f>
        <v>2010.041856</v>
      </c>
      <c r="AK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+'[9]Natural Gas'!C20+[9]Ontario!C20+[9]Finance!C20+[9]Executive!C20+[9]Alberta!C20</f>
        <v>0</v>
      </c>
      <c r="E20" s="68" t="n">
        <f aca="false">(+'[9]Natural Gas'!E20+[9]Ontario!E20+[9]Finance!E20+[9]Executive!E20+[9]Alberta!E20)*1.2</f>
        <v>0</v>
      </c>
      <c r="G20" s="64" t="n">
        <f aca="false">((E20/$E$29)*$G$29)*1.2</f>
        <v>0</v>
      </c>
      <c r="H20" s="0" t="s">
        <v>144</v>
      </c>
      <c r="I20" s="49" t="n">
        <v>78000</v>
      </c>
      <c r="J20" s="0" t="n">
        <v>0</v>
      </c>
      <c r="K20" s="0" t="n">
        <f aca="false">I20*J20</f>
        <v>0</v>
      </c>
      <c r="O20" s="64" t="n">
        <f aca="false">+G20/$G$29*$O$29</f>
        <v>0</v>
      </c>
      <c r="AK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+'[9]Natural Gas'!C21+[9]Ontario!C21+[9]Finance!C21+[9]Executive!C21+[9]Alberta!C21</f>
        <v>19769.17</v>
      </c>
      <c r="E21" s="68" t="n">
        <f aca="false">(+'[9]Natural Gas'!E21+[9]Ontario!E21+[9]Finance!E21+[9]Executive!E21+[9]Alberta!E21)*1.2</f>
        <v>31630.6720000001</v>
      </c>
      <c r="G21" s="64" t="n">
        <f aca="false">((E21/$E$29)*$G$29)*1.2</f>
        <v>3795.68064000001</v>
      </c>
      <c r="H21" s="0" t="s">
        <v>147</v>
      </c>
      <c r="I21" s="49" t="n">
        <v>66000</v>
      </c>
      <c r="J21" s="0" t="n">
        <v>0</v>
      </c>
      <c r="K21" s="0" t="n">
        <f aca="false">I21*J21</f>
        <v>0</v>
      </c>
      <c r="O21" s="64" t="n">
        <f aca="false">+G21/$G$29*$O$29</f>
        <v>759.136128000002</v>
      </c>
      <c r="AK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+'[9]Natural Gas'!C22+[9]Ontario!C22+[9]Finance!C22+[9]Executive!C22+[9]Alberta!C22</f>
        <v>6106.70000000001</v>
      </c>
      <c r="E22" s="68" t="n">
        <f aca="false">(+'[9]Natural Gas'!E22+[9]Ontario!E22+[9]Finance!E22+[9]Executive!E22+[9]Alberta!E22)*1.2</f>
        <v>9770.72000000001</v>
      </c>
      <c r="G22" s="64" t="n">
        <f aca="false">((E22/$E$29)*$G$29)*1.2</f>
        <v>1172.4864</v>
      </c>
      <c r="H22" s="0" t="s">
        <v>150</v>
      </c>
      <c r="I22" s="49" t="n">
        <v>97200</v>
      </c>
      <c r="J22" s="0" t="n">
        <v>0</v>
      </c>
      <c r="K22" s="0" t="n">
        <f aca="false">I22*J22</f>
        <v>0</v>
      </c>
      <c r="O22" s="64" t="n">
        <f aca="false">+G22/$G$29*$O$29</f>
        <v>234.49728</v>
      </c>
      <c r="AK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1060233.04704</v>
      </c>
      <c r="H23" s="0" t="s">
        <v>153</v>
      </c>
      <c r="I23" s="49" t="n">
        <v>120000</v>
      </c>
      <c r="J23" s="0" t="n">
        <v>3</v>
      </c>
      <c r="K23" s="0" t="n">
        <f aca="false">I23*J23</f>
        <v>360000</v>
      </c>
      <c r="O23" s="74" t="n">
        <f aca="false">SUM(O8:O22)</f>
        <v>212046.609408</v>
      </c>
      <c r="AK23" s="76"/>
    </row>
    <row r="24" customFormat="false" ht="12.75" hidden="false" customHeight="false" outlineLevel="0" collapsed="false">
      <c r="H24" s="0" t="s">
        <v>154</v>
      </c>
      <c r="I24" s="49" t="n">
        <v>156000</v>
      </c>
      <c r="J24" s="0" t="n">
        <v>2</v>
      </c>
      <c r="K24" s="0" t="n">
        <f aca="false">I24*J24</f>
        <v>312000</v>
      </c>
      <c r="AK24" s="26"/>
    </row>
    <row r="25" customFormat="false" ht="12.75" hidden="false" customHeight="false" outlineLevel="0" collapsed="false">
      <c r="B25" s="73" t="s">
        <v>7</v>
      </c>
      <c r="C25" s="3"/>
      <c r="E25" s="101" t="n">
        <f aca="false">+'[9]Natural Gas'!E25+[9]Ontario!E25+[9]Finance!E25+[9]Executive!E25+[9]Alberta!E25</f>
        <v>30</v>
      </c>
      <c r="G25" s="101" t="n">
        <v>5</v>
      </c>
      <c r="H25" s="0" t="s">
        <v>155</v>
      </c>
      <c r="I25" s="49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4"/>
    </row>
    <row r="26" customFormat="false" ht="12.75" hidden="false" customHeight="false" outlineLevel="0" collapsed="false">
      <c r="C26" s="64"/>
      <c r="E26" s="63"/>
      <c r="G26" s="63"/>
      <c r="H26" s="0" t="s">
        <v>156</v>
      </c>
      <c r="I26" s="49" t="n">
        <v>216000</v>
      </c>
      <c r="J26" s="0" t="n">
        <v>1</v>
      </c>
      <c r="K26" s="0" t="n">
        <f aca="false">I26*J26</f>
        <v>216000</v>
      </c>
      <c r="O26" s="64"/>
      <c r="AK26" s="64"/>
    </row>
    <row r="27" customFormat="false" ht="12.75" hidden="false" customHeight="false" outlineLevel="0" collapsed="false">
      <c r="B27" s="73" t="s">
        <v>198</v>
      </c>
      <c r="C27" s="64"/>
      <c r="E27" s="101" t="n">
        <f aca="false">+'[9]Natural Gas'!E27+[9]Ontario!E27+[9]Finance!E27+[9]Executive!E27+[9]Alberta!E27</f>
        <v>20</v>
      </c>
      <c r="G27" s="101" t="n">
        <f aca="false">SUM(J21:J22)</f>
        <v>0</v>
      </c>
      <c r="H27" s="0" t="s">
        <v>212</v>
      </c>
      <c r="I27" s="49" t="n">
        <v>240000</v>
      </c>
      <c r="J27" s="0" t="n">
        <v>1</v>
      </c>
      <c r="K27" s="0" t="n">
        <f aca="false">I27*J27</f>
        <v>240000</v>
      </c>
      <c r="O27" s="77" t="n">
        <f aca="false">+U21+U22</f>
        <v>0</v>
      </c>
      <c r="AK27" s="6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50</v>
      </c>
      <c r="F29" s="64"/>
      <c r="G29" s="77" t="n">
        <f aca="false">+G27+G25</f>
        <v>5</v>
      </c>
      <c r="H29" s="66"/>
      <c r="O29" s="77" t="n">
        <v>1</v>
      </c>
      <c r="AK29" s="64"/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214</v>
      </c>
      <c r="C31" s="64"/>
      <c r="E31" s="64"/>
      <c r="G31" s="16" t="s">
        <v>160</v>
      </c>
      <c r="H31" s="49"/>
      <c r="J31" s="49"/>
    </row>
    <row r="32" customFormat="false" ht="12.75" hidden="true" customHeight="false" outlineLevel="0" collapsed="false">
      <c r="A32" s="62" t="s">
        <v>215</v>
      </c>
      <c r="B32" s="63"/>
      <c r="C32" s="64"/>
      <c r="E32" s="64"/>
      <c r="H32" s="49"/>
      <c r="J32" s="49"/>
    </row>
    <row r="33" customFormat="false" ht="12.75" hidden="true" customHeight="false" outlineLevel="0" collapsed="false">
      <c r="A33" s="62" t="s">
        <v>216</v>
      </c>
      <c r="B33" s="63"/>
      <c r="C33" s="64"/>
      <c r="E33" s="64"/>
      <c r="G33" s="79" t="s">
        <v>161</v>
      </c>
      <c r="H33" s="80" t="s">
        <v>162</v>
      </c>
      <c r="I33" s="80" t="s">
        <v>163</v>
      </c>
      <c r="J33" s="80" t="s">
        <v>106</v>
      </c>
      <c r="K33" s="80" t="s">
        <v>164</v>
      </c>
    </row>
    <row r="34" customFormat="false" ht="12.75" hidden="true" customHeight="false" outlineLevel="0" collapsed="false">
      <c r="A34" s="62" t="s">
        <v>217</v>
      </c>
      <c r="B34" s="63"/>
      <c r="C34" s="64"/>
      <c r="E34" s="64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7</v>
      </c>
      <c r="K34" s="80" t="n">
        <f aca="false">+I34*J34</f>
        <v>218774.55488</v>
      </c>
    </row>
    <row r="35" customFormat="false" ht="12.75" hidden="true" customHeight="false" outlineLevel="0" collapsed="false">
      <c r="A35" s="62" t="s">
        <v>218</v>
      </c>
      <c r="B35" s="63"/>
      <c r="C35" s="64"/>
      <c r="E35" s="64"/>
    </row>
    <row r="36" customFormat="false" ht="12.75" hidden="true" customHeight="false" outlineLevel="0" collapsed="false">
      <c r="A36" s="62" t="s">
        <v>219</v>
      </c>
      <c r="B36" s="63"/>
      <c r="C36" s="64"/>
      <c r="E36" s="64"/>
    </row>
    <row r="37" customFormat="false" ht="12.75" hidden="true" customHeight="false" outlineLevel="0" collapsed="false">
      <c r="A37" s="62" t="s">
        <v>220</v>
      </c>
      <c r="B37" s="63"/>
      <c r="C37" s="64"/>
      <c r="E37" s="64"/>
    </row>
    <row r="38" customFormat="false" ht="12.75" hidden="true" customHeight="false" outlineLevel="0" collapsed="false">
      <c r="A38" s="62" t="s">
        <v>221</v>
      </c>
      <c r="B38" s="63"/>
      <c r="C38" s="64"/>
      <c r="E38" s="64"/>
    </row>
    <row r="39" customFormat="false" ht="12.75" hidden="true" customHeight="false" outlineLevel="0" collapsed="false">
      <c r="B39" s="63"/>
      <c r="C39" s="64"/>
      <c r="E39" s="64"/>
    </row>
    <row r="40" customFormat="false" ht="12.75" hidden="true" customHeight="false" outlineLevel="0" collapsed="false">
      <c r="B40" s="63"/>
      <c r="C40" s="64"/>
      <c r="E40" s="64"/>
    </row>
    <row r="41" customFormat="false" ht="12.75" hidden="true" customHeight="false" outlineLevel="0" collapsed="false">
      <c r="B41" s="63"/>
      <c r="C41" s="64"/>
      <c r="E41" s="6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R144" activeCellId="0" sqref="R1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50" t="str">
        <f aca="false">'[8]Team Report'!B1</f>
        <v>Enron North America</v>
      </c>
      <c r="C1" s="50"/>
      <c r="D1" s="50"/>
      <c r="E1" s="50"/>
      <c r="F1" s="50"/>
      <c r="G1" s="50"/>
      <c r="H1" s="52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222</v>
      </c>
      <c r="C2" s="50"/>
      <c r="D2" s="50"/>
      <c r="E2" s="50"/>
      <c r="F2" s="50"/>
      <c r="G2" s="50"/>
      <c r="H2" s="52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H4" s="85"/>
      <c r="I4" s="56"/>
      <c r="J4" s="86"/>
      <c r="K4" s="87"/>
    </row>
    <row r="5" customFormat="false" ht="12.75" hidden="false" customHeight="false" outlineLevel="0" collapsed="false">
      <c r="H5" s="88"/>
      <c r="I5" s="49" t="s">
        <v>105</v>
      </c>
      <c r="J5" s="26" t="s">
        <v>106</v>
      </c>
      <c r="K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110</v>
      </c>
      <c r="G6" s="60" t="s">
        <v>110</v>
      </c>
      <c r="H6" s="88"/>
      <c r="J6" s="26"/>
      <c r="K6" s="89"/>
      <c r="O6" s="100" t="n">
        <v>2002</v>
      </c>
      <c r="AK6" s="10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H7" s="88"/>
      <c r="J7" s="26"/>
      <c r="K7" s="89"/>
      <c r="O7" s="61" t="s">
        <v>114</v>
      </c>
      <c r="AK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+'[9]Natural Gas'!C8+[9]Ontario!C8+[9]Finance!C8+[9]Executive!C8+[9]Alberta!C8</f>
        <v>2855922.03</v>
      </c>
      <c r="E8" s="64" t="n">
        <f aca="false">+'[9]Natural Gas'!E8+[9]Ontario!E8+[9]Finance!E8+[9]Executive!E8+[9]Alberta!E8</f>
        <v>3807896.04</v>
      </c>
      <c r="G8" s="64" t="n">
        <f aca="false">(K28-G10-137496+293496)*1.2</f>
        <v>1800000</v>
      </c>
      <c r="H8" s="88" t="s">
        <v>116</v>
      </c>
      <c r="I8" s="49" t="n">
        <v>0</v>
      </c>
      <c r="J8" s="26"/>
      <c r="K8" s="92" t="n">
        <f aca="false">K28</f>
        <v>1344000</v>
      </c>
      <c r="O8" s="64" t="n">
        <f aca="false">+G8/$G$29*$O$29</f>
        <v>163636.363636364</v>
      </c>
      <c r="AK8" s="64"/>
    </row>
    <row r="9" customFormat="false" ht="12.75" hidden="true" customHeight="false" outlineLevel="0" collapsed="false">
      <c r="A9" s="62"/>
      <c r="B9" s="63" t="s">
        <v>117</v>
      </c>
      <c r="C9" s="64" t="n">
        <f aca="false">+'[9]Natural Gas'!C9+[9]Ontario!C9+[9]Finance!C9+[9]Executive!C9+[9]Alberta!C9</f>
        <v>0</v>
      </c>
      <c r="E9" s="64" t="n">
        <f aca="false">+'[9]Natural Gas'!E9+[9]Ontario!E9+[9]Finance!E9+[9]Executive!E9+[9]Alberta!E9</f>
        <v>0</v>
      </c>
      <c r="G9" s="64" t="n">
        <v>0</v>
      </c>
      <c r="H9" s="88"/>
      <c r="J9" s="26"/>
      <c r="K9" s="89"/>
      <c r="O9" s="64" t="n">
        <f aca="false">+G9/$G$29*$O$29</f>
        <v>0</v>
      </c>
      <c r="AK9" s="64"/>
    </row>
    <row r="10" customFormat="false" ht="12.75" hidden="false" customHeight="false" outlineLevel="0" collapsed="false">
      <c r="A10" s="62"/>
      <c r="B10" s="63" t="s">
        <v>211</v>
      </c>
      <c r="C10" s="64" t="n">
        <v>0</v>
      </c>
      <c r="E10" s="64" t="n">
        <v>0</v>
      </c>
      <c r="G10" s="64" t="n">
        <f aca="false">(K22+K21)*1.2</f>
        <v>0</v>
      </c>
      <c r="H10" s="88"/>
      <c r="J10" s="26"/>
      <c r="K10" s="89"/>
      <c r="O10" s="64" t="n">
        <f aca="false">+G10/$G$29*$O$29</f>
        <v>0</v>
      </c>
      <c r="AK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+'[9]Natural Gas'!C11+[9]Ontario!C11+[9]Finance!C11+[9]Executive!C10+[9]Alberta!C11</f>
        <v>312682.37</v>
      </c>
      <c r="E11" s="64" t="n">
        <f aca="false">+'[9]Natural Gas'!E11+[9]Ontario!E11+[9]Finance!E11+[9]Executive!E10+[9]Alberta!E11</f>
        <v>416909.826666667</v>
      </c>
      <c r="G11" s="64" t="n">
        <f aca="false">(G8*0.3105+52-240802)*1.2</f>
        <v>381780</v>
      </c>
      <c r="H11" s="88" t="s">
        <v>78</v>
      </c>
      <c r="I11" s="80" t="n">
        <f aca="false">(E12+E13+E14+E15+E16+E17+E18+E19+E20+E21+E22)/E29</f>
        <v>31253.50784</v>
      </c>
      <c r="J11" s="26" t="n">
        <f aca="false">J28</f>
        <v>9</v>
      </c>
      <c r="K11" s="92" t="n">
        <f aca="false">I11*J11</f>
        <v>281281.57056</v>
      </c>
      <c r="O11" s="64" t="n">
        <f aca="false">+G11/$G$29*$O$29</f>
        <v>34707.2727272727</v>
      </c>
      <c r="AK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+'[9]Natural Gas'!C12+[9]Ontario!C12+[9]Finance!C12+[9]Executive!C12+[9]Alberta!C12</f>
        <v>67320.13</v>
      </c>
      <c r="E12" s="68" t="n">
        <f aca="false">(+'[9]Natural Gas'!E12+[9]Ontario!E12+[9]Finance!E12+[9]Executive!E12+[9]Alberta!E12)*1.2</f>
        <v>107712.208</v>
      </c>
      <c r="G12" s="64" t="n">
        <f aca="false">((E12/$E$29)*$G$29)*1.2</f>
        <v>28436.022912</v>
      </c>
      <c r="H12" s="88"/>
      <c r="J12" s="26"/>
      <c r="K12" s="89"/>
      <c r="O12" s="64" t="n">
        <f aca="false">+G12/$G$29*$O$29</f>
        <v>2585.092992</v>
      </c>
      <c r="AK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+'[9]Natural Gas'!C13+[9]Ontario!C13+[9]Finance!C13+[9]Executive!C13+[9]Alberta!C13</f>
        <v>297871.84</v>
      </c>
      <c r="E13" s="68" t="n">
        <f aca="false">(+'[9]Natural Gas'!E13+[9]Ontario!E13+[9]Finance!E13+[9]Executive!E13+[9]Alberta!E13)*1.2</f>
        <v>476594.944</v>
      </c>
      <c r="G13" s="64" t="n">
        <f aca="false">((E13/$E$29)*$G$29)*1.2</f>
        <v>125821.065216</v>
      </c>
      <c r="H13" s="93" t="s">
        <v>125</v>
      </c>
      <c r="I13" s="70"/>
      <c r="J13" s="94"/>
      <c r="K13" s="95" t="n">
        <f aca="false">K8+K11</f>
        <v>1625281.57056</v>
      </c>
      <c r="O13" s="64" t="n">
        <f aca="false">+G13/$G$29*$O$29</f>
        <v>11438.278656</v>
      </c>
      <c r="AK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+'[9]Natural Gas'!C14+[9]Ontario!C14+[9]Finance!C14+[9]Executive!C14+[9]Alberta!C14</f>
        <v>505739.98</v>
      </c>
      <c r="E14" s="68" t="n">
        <f aca="false">(+'[9]Natural Gas'!E14+[9]Ontario!E14+[9]Finance!E14+[9]Executive!E14+[9]Alberta!E14)*1.2</f>
        <v>809183.968</v>
      </c>
      <c r="G14" s="64" t="n">
        <f aca="false">((E14/$E$29)*$G$29)*1.2</f>
        <v>213624.567552</v>
      </c>
      <c r="O14" s="64" t="n">
        <f aca="false">+G14/$G$29*$O$29</f>
        <v>19420.415232</v>
      </c>
      <c r="AK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+'[9]Natural Gas'!C15+[9]Ontario!C15+[9]Finance!C15+[9]Executive!C15+[9]Alberta!C15</f>
        <v>6427.42</v>
      </c>
      <c r="E15" s="68" t="n">
        <f aca="false">(+'[9]Natural Gas'!E15+[9]Ontario!E15+[9]Finance!E15+[9]Executive!E15+[9]Alberta!E15)*1.2</f>
        <v>10283.872</v>
      </c>
      <c r="G15" s="64" t="n">
        <f aca="false">((E15/$E$29)*$G$29)*1.2</f>
        <v>2714.942208</v>
      </c>
      <c r="O15" s="64" t="n">
        <f aca="false">+G15/$G$29*$O$29</f>
        <v>246.812928</v>
      </c>
      <c r="AK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+'[9]Natural Gas'!C16+[9]Ontario!C16+[9]Finance!C16+[9]Executive!C16+[9]Alberta!C16</f>
        <v>0</v>
      </c>
      <c r="E16" s="68" t="n">
        <f aca="false">(+'[9]Natural Gas'!E16+[9]Ontario!E16+[9]Finance!E16+[9]Executive!E16+[9]Alberta!E16)*1.2</f>
        <v>0</v>
      </c>
      <c r="G16" s="64" t="n">
        <f aca="false">((E16/$E$29)*$G$29)*1.2</f>
        <v>0</v>
      </c>
      <c r="H16" s="0" t="s">
        <v>197</v>
      </c>
      <c r="I16" s="49" t="n">
        <v>33600</v>
      </c>
      <c r="J16" s="0" t="n">
        <v>0</v>
      </c>
      <c r="K16" s="0" t="n">
        <f aca="false">I16*J16</f>
        <v>0</v>
      </c>
      <c r="O16" s="64" t="n">
        <f aca="false">+G16/$G$29*$O$29</f>
        <v>0</v>
      </c>
      <c r="AK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+'[9]Natural Gas'!C17+[9]Ontario!C17+[9]Finance!C17+[9]Executive!C17+[9]Alberta!C17</f>
        <v>1883.62</v>
      </c>
      <c r="E17" s="68" t="n">
        <f aca="false">(+'[9]Natural Gas'!E17+[9]Ontario!E17+[9]Finance!E17+[9]Executive!E17+[9]Alberta!E17)*1.2</f>
        <v>3013.792</v>
      </c>
      <c r="G17" s="64" t="n">
        <f aca="false">((E17/$E$29)*$G$29)*1.2</f>
        <v>795.641088</v>
      </c>
      <c r="H17" s="0" t="s">
        <v>135</v>
      </c>
      <c r="I17" s="49" t="n">
        <v>52800</v>
      </c>
      <c r="J17" s="0" t="n">
        <v>0</v>
      </c>
      <c r="K17" s="0" t="n">
        <f aca="false">I17*J17</f>
        <v>0</v>
      </c>
      <c r="O17" s="64" t="n">
        <f aca="false">+G17/$G$29*$O$29</f>
        <v>72.331008</v>
      </c>
      <c r="AK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+'[9]Natural Gas'!C18+[9]Ontario!C18+[9]Finance!C18+[9]Executive!C18+[9]Alberta!C18</f>
        <v>19208.42</v>
      </c>
      <c r="E18" s="68" t="n">
        <f aca="false">(+'[9]Natural Gas'!E18+[9]Ontario!E18+[9]Finance!E18+[9]Executive!E18+[9]Alberta!E18)*1.2</f>
        <v>30733.472</v>
      </c>
      <c r="G18" s="64" t="n">
        <f aca="false">((E18/$E$29)*$G$29)*1.2</f>
        <v>8113.636608</v>
      </c>
      <c r="H18" s="0" t="s">
        <v>138</v>
      </c>
      <c r="I18" s="49" t="n">
        <v>54000</v>
      </c>
      <c r="J18" s="0" t="n">
        <v>0</v>
      </c>
      <c r="K18" s="0" t="n">
        <f aca="false">I18*J18</f>
        <v>0</v>
      </c>
      <c r="O18" s="64" t="n">
        <f aca="false">+G18/$G$29*$O$29</f>
        <v>737.603328</v>
      </c>
      <c r="AK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+'[9]Natural Gas'!C19+[9]Ontario!C19+[9]Finance!C19+[9]Executive!C19+[9]Alberta!C19</f>
        <v>52344.84</v>
      </c>
      <c r="E19" s="68" t="n">
        <f aca="false">(+'[9]Natural Gas'!E19+[9]Ontario!E19+[9]Finance!E19+[9]Executive!E19+[9]Alberta!E19)*1.2</f>
        <v>83751.744</v>
      </c>
      <c r="G19" s="64" t="n">
        <f aca="false">((E19/$E$29)*$G$29)*1.2</f>
        <v>22110.460416</v>
      </c>
      <c r="H19" s="0" t="s">
        <v>141</v>
      </c>
      <c r="I19" s="49" t="n">
        <v>63000</v>
      </c>
      <c r="J19" s="0" t="n">
        <v>0</v>
      </c>
      <c r="K19" s="0" t="n">
        <f aca="false">I19*J19</f>
        <v>0</v>
      </c>
      <c r="O19" s="64" t="n">
        <f aca="false">+G19/$G$29*$O$29</f>
        <v>2010.041856</v>
      </c>
      <c r="AK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+'[9]Natural Gas'!C20+[9]Ontario!C20+[9]Finance!C20+[9]Executive!C20+[9]Alberta!C20</f>
        <v>0</v>
      </c>
      <c r="E20" s="68" t="n">
        <f aca="false">(+'[9]Natural Gas'!E20+[9]Ontario!E20+[9]Finance!E20+[9]Executive!E20+[9]Alberta!E20)*1.2</f>
        <v>0</v>
      </c>
      <c r="G20" s="64" t="n">
        <f aca="false">((E20/$E$29)*$G$29)*1.2</f>
        <v>0</v>
      </c>
      <c r="H20" s="0" t="s">
        <v>144</v>
      </c>
      <c r="I20" s="49" t="n">
        <v>78000</v>
      </c>
      <c r="J20" s="0" t="n">
        <v>0</v>
      </c>
      <c r="K20" s="0" t="n">
        <f aca="false">I20*J20</f>
        <v>0</v>
      </c>
      <c r="O20" s="64" t="n">
        <f aca="false">+G20/$G$29*$O$29</f>
        <v>0</v>
      </c>
      <c r="AK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+'[9]Natural Gas'!C21+[9]Ontario!C21+[9]Finance!C21+[9]Executive!C21+[9]Alberta!C21</f>
        <v>19769.17</v>
      </c>
      <c r="E21" s="68" t="n">
        <f aca="false">(+'[9]Natural Gas'!E21+[9]Ontario!E21+[9]Finance!E21+[9]Executive!E21+[9]Alberta!E21)*1.2</f>
        <v>31630.6720000001</v>
      </c>
      <c r="G21" s="64" t="n">
        <f aca="false">((E21/$E$29)*$G$29)*1.2</f>
        <v>8350.49740800002</v>
      </c>
      <c r="H21" s="0" t="s">
        <v>147</v>
      </c>
      <c r="I21" s="49" t="n">
        <v>66000</v>
      </c>
      <c r="J21" s="0" t="n">
        <v>0</v>
      </c>
      <c r="K21" s="0" t="n">
        <f aca="false">I21*J21</f>
        <v>0</v>
      </c>
      <c r="O21" s="64" t="n">
        <f aca="false">+G21/$G$29*$O$29</f>
        <v>759.136128000002</v>
      </c>
      <c r="AK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+'[9]Natural Gas'!C22+[9]Ontario!C22+[9]Finance!C22+[9]Executive!C22+[9]Alberta!C22</f>
        <v>6106.70000000001</v>
      </c>
      <c r="E22" s="68" t="n">
        <f aca="false">(+'[9]Natural Gas'!E22+[9]Ontario!E22+[9]Finance!E22+[9]Executive!E22+[9]Alberta!E22)*1.2</f>
        <v>9770.72000000001</v>
      </c>
      <c r="G22" s="64" t="n">
        <f aca="false">((E22/$E$29)*$G$29)*1.2</f>
        <v>2579.47008</v>
      </c>
      <c r="H22" s="0" t="s">
        <v>150</v>
      </c>
      <c r="I22" s="49" t="n">
        <v>97200</v>
      </c>
      <c r="J22" s="0" t="n">
        <v>0</v>
      </c>
      <c r="K22" s="0" t="n">
        <f aca="false">I22*J22</f>
        <v>0</v>
      </c>
      <c r="O22" s="64" t="n">
        <f aca="false">+G22/$G$29*$O$29</f>
        <v>234.49728</v>
      </c>
      <c r="AK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2594326.303488</v>
      </c>
      <c r="H23" s="0" t="s">
        <v>153</v>
      </c>
      <c r="I23" s="49" t="n">
        <v>120000</v>
      </c>
      <c r="J23" s="0" t="n">
        <v>5</v>
      </c>
      <c r="K23" s="0" t="n">
        <f aca="false">I23*J23</f>
        <v>600000</v>
      </c>
      <c r="O23" s="74" t="n">
        <f aca="false">SUM(O8:O22)</f>
        <v>235847.845771636</v>
      </c>
      <c r="AK23" s="76"/>
    </row>
    <row r="24" customFormat="false" ht="12.75" hidden="false" customHeight="false" outlineLevel="0" collapsed="false">
      <c r="H24" s="0" t="s">
        <v>154</v>
      </c>
      <c r="I24" s="49" t="n">
        <v>156000</v>
      </c>
      <c r="J24" s="0" t="n">
        <v>2</v>
      </c>
      <c r="K24" s="0" t="n">
        <f aca="false">I24*J24</f>
        <v>312000</v>
      </c>
      <c r="AK24" s="26"/>
    </row>
    <row r="25" customFormat="false" ht="12.75" hidden="false" customHeight="false" outlineLevel="0" collapsed="false">
      <c r="B25" s="73" t="s">
        <v>7</v>
      </c>
      <c r="C25" s="3"/>
      <c r="E25" s="101" t="n">
        <f aca="false">+'[9]Natural Gas'!E25+[9]Ontario!E25+[9]Finance!E25+[9]Executive!E25+[9]Alberta!E25</f>
        <v>30</v>
      </c>
      <c r="G25" s="101" t="n">
        <v>11</v>
      </c>
      <c r="H25" s="0" t="s">
        <v>155</v>
      </c>
      <c r="I25" s="49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4"/>
    </row>
    <row r="26" customFormat="false" ht="12.75" hidden="false" customHeight="false" outlineLevel="0" collapsed="false">
      <c r="C26" s="64"/>
      <c r="E26" s="63"/>
      <c r="G26" s="63"/>
      <c r="H26" s="0" t="s">
        <v>156</v>
      </c>
      <c r="I26" s="49" t="n">
        <v>216000</v>
      </c>
      <c r="J26" s="0" t="n">
        <v>2</v>
      </c>
      <c r="K26" s="0" t="n">
        <f aca="false">I26*J26</f>
        <v>432000</v>
      </c>
      <c r="O26" s="64"/>
      <c r="AK26" s="64"/>
    </row>
    <row r="27" customFormat="false" ht="12.75" hidden="false" customHeight="false" outlineLevel="0" collapsed="false">
      <c r="B27" s="73" t="s">
        <v>198</v>
      </c>
      <c r="C27" s="64"/>
      <c r="E27" s="101" t="n">
        <f aca="false">+'[9]Natural Gas'!E27+[9]Ontario!E27+[9]Finance!E27+[9]Executive!E27+[9]Alberta!E27</f>
        <v>20</v>
      </c>
      <c r="G27" s="101" t="n">
        <f aca="false">SUM(J21:J22)</f>
        <v>0</v>
      </c>
      <c r="H27" s="0" t="s">
        <v>212</v>
      </c>
      <c r="I27" s="49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50</v>
      </c>
      <c r="F29" s="64"/>
      <c r="G29" s="77" t="n">
        <f aca="false">+G27+G25</f>
        <v>11</v>
      </c>
      <c r="H29" s="66"/>
      <c r="O29" s="77" t="n">
        <v>1</v>
      </c>
      <c r="AK29" s="64"/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214</v>
      </c>
      <c r="C31" s="64"/>
      <c r="E31" s="64"/>
      <c r="G31" s="16" t="s">
        <v>160</v>
      </c>
      <c r="H31" s="49"/>
      <c r="J31" s="49"/>
    </row>
    <row r="32" customFormat="false" ht="12.75" hidden="true" customHeight="false" outlineLevel="0" collapsed="false">
      <c r="A32" s="62" t="s">
        <v>215</v>
      </c>
      <c r="B32" s="63"/>
      <c r="C32" s="64"/>
      <c r="E32" s="64"/>
      <c r="H32" s="49"/>
      <c r="J32" s="49"/>
    </row>
    <row r="33" customFormat="false" ht="12.75" hidden="true" customHeight="false" outlineLevel="0" collapsed="false">
      <c r="A33" s="62" t="s">
        <v>216</v>
      </c>
      <c r="B33" s="63"/>
      <c r="C33" s="64"/>
      <c r="E33" s="64"/>
      <c r="G33" s="79" t="s">
        <v>161</v>
      </c>
      <c r="H33" s="80" t="s">
        <v>162</v>
      </c>
      <c r="I33" s="80" t="s">
        <v>163</v>
      </c>
      <c r="J33" s="80" t="s">
        <v>106</v>
      </c>
      <c r="K33" s="80" t="s">
        <v>164</v>
      </c>
    </row>
    <row r="34" customFormat="false" ht="12.75" hidden="true" customHeight="false" outlineLevel="0" collapsed="false">
      <c r="A34" s="62" t="s">
        <v>217</v>
      </c>
      <c r="B34" s="63"/>
      <c r="C34" s="64"/>
      <c r="E34" s="64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9</v>
      </c>
      <c r="K34" s="80" t="n">
        <f aca="false">+I34*J34</f>
        <v>281281.57056</v>
      </c>
    </row>
    <row r="35" customFormat="false" ht="12.75" hidden="true" customHeight="false" outlineLevel="0" collapsed="false">
      <c r="A35" s="62" t="s">
        <v>218</v>
      </c>
      <c r="B35" s="63"/>
      <c r="C35" s="64"/>
      <c r="E35" s="64"/>
    </row>
    <row r="36" customFormat="false" ht="12.75" hidden="true" customHeight="false" outlineLevel="0" collapsed="false">
      <c r="A36" s="62" t="s">
        <v>219</v>
      </c>
      <c r="B36" s="63"/>
      <c r="C36" s="64"/>
      <c r="E36" s="64"/>
    </row>
    <row r="37" customFormat="false" ht="12.75" hidden="true" customHeight="false" outlineLevel="0" collapsed="false">
      <c r="A37" s="62" t="s">
        <v>220</v>
      </c>
      <c r="B37" s="63"/>
      <c r="C37" s="64"/>
      <c r="E37" s="64"/>
    </row>
    <row r="38" customFormat="false" ht="12.75" hidden="true" customHeight="false" outlineLevel="0" collapsed="false">
      <c r="A38" s="62" t="s">
        <v>221</v>
      </c>
      <c r="B38" s="63"/>
      <c r="C38" s="64"/>
      <c r="E38" s="64"/>
    </row>
    <row r="39" customFormat="false" ht="12.75" hidden="true" customHeight="false" outlineLevel="0" collapsed="false">
      <c r="B39" s="63"/>
      <c r="C39" s="64"/>
      <c r="E39" s="64"/>
    </row>
    <row r="40" customFormat="false" ht="12.75" hidden="true" customHeight="false" outlineLevel="0" collapsed="false">
      <c r="B40" s="63"/>
      <c r="C40" s="64"/>
      <c r="E40" s="64"/>
    </row>
    <row r="41" customFormat="false" ht="12.75" hidden="true" customHeight="false" outlineLevel="0" collapsed="false">
      <c r="B41" s="63"/>
      <c r="C41" s="64"/>
      <c r="E41" s="6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50" t="str">
        <f aca="false">'[10]Team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tr">
        <f aca="false">'[10]Pull Sheet'!E9</f>
        <v>Office of the Chair</v>
      </c>
      <c r="C2" s="50"/>
      <c r="D2" s="50"/>
      <c r="E2" s="50"/>
      <c r="F2" s="50"/>
      <c r="G2" s="52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4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 t="n">
        <v>2002</v>
      </c>
      <c r="J6" s="88"/>
      <c r="K6" s="80" t="s">
        <v>105</v>
      </c>
      <c r="L6" s="80" t="s">
        <v>106</v>
      </c>
      <c r="M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224</v>
      </c>
      <c r="F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'[10]Team Report'!BA25</f>
        <v>888807.72</v>
      </c>
      <c r="E8" s="64" t="n">
        <f aca="false">(C8/9)*12</f>
        <v>1185076.96</v>
      </c>
      <c r="F8" s="64" t="n">
        <f aca="false">+M21</f>
        <v>1098000</v>
      </c>
      <c r="J8" s="88"/>
      <c r="M8" s="59"/>
      <c r="O8" s="64" t="n">
        <f aca="false">+F8/$F$29*$O$29</f>
        <v>183000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/>
      <c r="J9" s="88" t="s">
        <v>116</v>
      </c>
      <c r="K9" s="49" t="n">
        <v>0</v>
      </c>
      <c r="L9" s="49" t="n">
        <f aca="false">+L21</f>
        <v>6</v>
      </c>
      <c r="M9" s="59" t="n">
        <f aca="false">M21</f>
        <v>1098000</v>
      </c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v>0</v>
      </c>
      <c r="J10" s="88"/>
      <c r="M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'[10]Team Report'!BA26</f>
        <v>249788.37</v>
      </c>
      <c r="E11" s="64" t="n">
        <f aca="false">(C11/9)*12</f>
        <v>333051.16</v>
      </c>
      <c r="F11" s="64" t="n">
        <f aca="false">+F8*0.2</f>
        <v>219600</v>
      </c>
      <c r="J11" s="88"/>
      <c r="M11" s="59"/>
      <c r="O11" s="64" t="n">
        <f aca="false">+F11/$F$29*$O$29</f>
        <v>36600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'[10]Team Report'!BA27</f>
        <v>180082.13</v>
      </c>
      <c r="E12" s="64" t="n">
        <f aca="false">(C12/9)*12</f>
        <v>240109.506666667</v>
      </c>
      <c r="F12" s="64" t="n">
        <f aca="false">+E12/$E$29*$F$29</f>
        <v>288131.408</v>
      </c>
      <c r="J12" s="88" t="s">
        <v>78</v>
      </c>
      <c r="K12" s="49" t="n">
        <f aca="false">(E12+E13+E14+E15+E16+E17+E18+E19+E20+E21+E22)/E29</f>
        <v>123221.090666665</v>
      </c>
      <c r="L12" s="49" t="n">
        <f aca="false">+L21</f>
        <v>6</v>
      </c>
      <c r="M12" s="59" t="n">
        <f aca="false">K12*L12</f>
        <v>739326.543999988</v>
      </c>
      <c r="O12" s="64" t="n">
        <f aca="false">+F12/$F$29*$O$29</f>
        <v>48021.9013333333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'[10]Team Report'!BA28</f>
        <v>201416.5</v>
      </c>
      <c r="E13" s="64" t="n">
        <f aca="false">(C13/9)*12</f>
        <v>268555.333333333</v>
      </c>
      <c r="F13" s="64" t="n">
        <f aca="false">+E13/$E$29*$F$29</f>
        <v>322266.4</v>
      </c>
      <c r="J13" s="88"/>
      <c r="M13" s="59"/>
      <c r="O13" s="64" t="n">
        <f aca="false">+F13/$F$29*$O$29</f>
        <v>53711.0666666667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F14" s="64" t="n">
        <f aca="false">+E14/$E$29*$F$29</f>
        <v>0</v>
      </c>
      <c r="J14" s="93" t="s">
        <v>125</v>
      </c>
      <c r="K14" s="70"/>
      <c r="L14" s="70"/>
      <c r="M14" s="71" t="n">
        <f aca="false">SUM(M9:M12)</f>
        <v>1837326.54399999</v>
      </c>
      <c r="O14" s="64" t="n">
        <f aca="false">+F14/$F$29*$O$29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'[10]Team Report'!BA33</f>
        <v>10998.16</v>
      </c>
      <c r="E15" s="64" t="n">
        <f aca="false">(C15/9)*12</f>
        <v>14664.2133333333</v>
      </c>
      <c r="F15" s="64" t="n">
        <f aca="false">+E15/$E$29*$F$29</f>
        <v>17597.056</v>
      </c>
      <c r="J15" s="26"/>
      <c r="O15" s="64" t="n">
        <f aca="false">+F15/$F$29*$O$29</f>
        <v>2932.84266666667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'[10]Team Report'!BA34</f>
        <v>0</v>
      </c>
      <c r="E16" s="64" t="n">
        <f aca="false">(C16/9)*12</f>
        <v>0</v>
      </c>
      <c r="F16" s="64" t="n">
        <f aca="false">+E16/$E$29*$F$29</f>
        <v>0</v>
      </c>
      <c r="J16" s="26"/>
      <c r="L16" s="10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'[10]Team Report'!BA35</f>
        <v>25000</v>
      </c>
      <c r="E17" s="64" t="n">
        <f aca="false">(C17/9)*12</f>
        <v>33333.3333333333</v>
      </c>
      <c r="F17" s="64" t="n">
        <f aca="false">+E17/$E$29*$F$29</f>
        <v>40000</v>
      </c>
      <c r="O17" s="64" t="n">
        <f aca="false">+F17/$F$29*$O$29</f>
        <v>6666.66666666667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'[10]Team Report'!BA36</f>
        <v>2602.32</v>
      </c>
      <c r="E18" s="64" t="n">
        <f aca="false">(C18/9)*12</f>
        <v>3469.76</v>
      </c>
      <c r="F18" s="64" t="n">
        <f aca="false">+E18/$E$29*$F$29</f>
        <v>4163.712</v>
      </c>
      <c r="J18" s="0" t="s">
        <v>135</v>
      </c>
      <c r="K18" s="49" t="n">
        <v>55000</v>
      </c>
      <c r="L18" s="49" t="n">
        <v>3</v>
      </c>
      <c r="M18" s="49" t="n">
        <f aca="false">K18*L18</f>
        <v>165000</v>
      </c>
      <c r="O18" s="64" t="n">
        <f aca="false">+F18/$F$29*$O$29</f>
        <v>693.952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'[10]Team Report'!BA37</f>
        <v>40643.17</v>
      </c>
      <c r="E19" s="64" t="n">
        <f aca="false">(C19/9)*12</f>
        <v>54190.8933333333</v>
      </c>
      <c r="F19" s="64" t="n">
        <f aca="false">+E19/$E$29*$F$29</f>
        <v>65029.072</v>
      </c>
      <c r="J19" s="0" t="s">
        <v>226</v>
      </c>
      <c r="K19" s="49" t="n">
        <v>250000</v>
      </c>
      <c r="L19" s="49" t="n">
        <v>1</v>
      </c>
      <c r="M19" s="49" t="n">
        <f aca="false">K19*L19</f>
        <v>250000</v>
      </c>
      <c r="O19" s="64" t="n">
        <f aca="false">+F19/$F$29*$O$29</f>
        <v>10838.1786666667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'[10]Team Report'!BA38</f>
        <v>1258.2</v>
      </c>
      <c r="E20" s="64" t="n">
        <f aca="false">(C20/9)*12</f>
        <v>1677.6</v>
      </c>
      <c r="F20" s="64" t="n">
        <f aca="false">+E20/$E$29*$F$29</f>
        <v>2013.12</v>
      </c>
      <c r="J20" s="0" t="s">
        <v>212</v>
      </c>
      <c r="K20" s="49" t="n">
        <v>250000</v>
      </c>
      <c r="L20" s="49" t="n">
        <v>2</v>
      </c>
      <c r="M20" s="49" t="n">
        <f aca="false">K20*L20</f>
        <v>500000</v>
      </c>
      <c r="O20" s="64" t="n">
        <f aca="false">+F20/$F$29*$O$29</f>
        <v>335.52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'[10]Team Report'!BA42-C40</f>
        <v>-0.180000007152557</v>
      </c>
      <c r="E21" s="64" t="n">
        <f aca="false">(C21/9)*12</f>
        <v>-0.240000009536743</v>
      </c>
      <c r="F21" s="64" t="n">
        <f aca="false">+E21/$E$29*$F$29</f>
        <v>-0.288000011444092</v>
      </c>
      <c r="L21" s="49" t="n">
        <f aca="false">SUM(L18:L20)</f>
        <v>6</v>
      </c>
      <c r="M21" s="49" t="n">
        <f aca="false">SUM(M18:M20)*1.2</f>
        <v>1098000</v>
      </c>
      <c r="O21" s="64" t="n">
        <f aca="false">+F21/$F$29*$O$29</f>
        <v>-0.0480000019073486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'[10]Team Report'!BA44</f>
        <v>78.79</v>
      </c>
      <c r="E22" s="64" t="n">
        <f aca="false">(C22/9)*12</f>
        <v>105.053333333333</v>
      </c>
      <c r="F22" s="64" t="n">
        <f aca="false">+E22/$E$29*$F$29</f>
        <v>126.064</v>
      </c>
      <c r="L22" s="78"/>
      <c r="M22" s="78"/>
      <c r="O22" s="64" t="n">
        <f aca="false">+F22/$F$29*$O$29</f>
        <v>21.0106666666667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1600675.17999999</v>
      </c>
      <c r="E23" s="74" t="n">
        <f aca="false">SUM(E8:E22)</f>
        <v>2134233.57333332</v>
      </c>
      <c r="F23" s="74" t="n">
        <f aca="false">SUM(F8:F22)</f>
        <v>2056926.54399999</v>
      </c>
      <c r="O23" s="96" t="n">
        <f aca="false">SUM(O8:O22)</f>
        <v>342821.090666665</v>
      </c>
    </row>
    <row r="25" customFormat="false" ht="12.75" hidden="false" customHeight="false" outlineLevel="0" collapsed="false">
      <c r="B25" s="73" t="s">
        <v>7</v>
      </c>
      <c r="C25" s="107"/>
      <c r="E25" s="107" t="n">
        <v>5</v>
      </c>
      <c r="F25" s="108" t="n">
        <v>6</v>
      </c>
      <c r="I25" s="16" t="s">
        <v>160</v>
      </c>
      <c r="J25" s="49"/>
      <c r="M25" s="0"/>
      <c r="O25" s="77" t="n">
        <f aca="false">SUM(U16:U20,U23:U27)</f>
        <v>0</v>
      </c>
    </row>
    <row r="26" customFormat="false" ht="12.75" hidden="false" customHeight="false" outlineLevel="0" collapsed="false">
      <c r="J26" s="49"/>
      <c r="M26" s="0"/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107"/>
      <c r="I27" s="79" t="s">
        <v>161</v>
      </c>
      <c r="J27" s="80" t="s">
        <v>162</v>
      </c>
      <c r="K27" s="80" t="s">
        <v>163</v>
      </c>
      <c r="L27" s="80" t="s">
        <v>106</v>
      </c>
      <c r="M27" s="80" t="s">
        <v>164</v>
      </c>
      <c r="O27" s="77" t="n">
        <f aca="false">SUM(U21:U22)</f>
        <v>0</v>
      </c>
    </row>
    <row r="28" customFormat="false" ht="12.75" hidden="false" customHeight="false" outlineLevel="0" collapsed="false">
      <c r="I28" s="81" t="n">
        <f aca="false">SUM(E12:E22)</f>
        <v>616105.453333324</v>
      </c>
      <c r="J28" s="109" t="n">
        <f aca="false">+E29</f>
        <v>5</v>
      </c>
      <c r="K28" s="80" t="n">
        <f aca="false">+I28/J28</f>
        <v>123221.090666665</v>
      </c>
      <c r="L28" s="80" t="n">
        <f aca="false">+L12</f>
        <v>6</v>
      </c>
      <c r="M28" s="80" t="n">
        <f aca="false">+K28*L28</f>
        <v>739326.543999989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5</v>
      </c>
      <c r="F29" s="107" t="n">
        <f aca="false">SUM(F25:F28)</f>
        <v>6</v>
      </c>
      <c r="K29" s="0"/>
      <c r="M29" s="0"/>
      <c r="O29" s="77" t="n">
        <v>1</v>
      </c>
    </row>
    <row r="30" customFormat="false" ht="12.75" hidden="false" customHeight="false" outlineLevel="0" collapsed="false">
      <c r="B30" s="73"/>
      <c r="K30" s="0"/>
      <c r="M30" s="0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'[10]Team Report'!BA29</f>
        <v>143473.75</v>
      </c>
      <c r="E31" s="64" t="n">
        <f aca="false">(C31/9)*12</f>
        <v>191298.333333333</v>
      </c>
      <c r="F31" s="64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'[10]Team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'[10]Team Report'!BA31</f>
        <v>0</v>
      </c>
      <c r="E33" s="64" t="n">
        <f aca="false">(C33/9)*12</f>
        <v>0</v>
      </c>
      <c r="F33" s="64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'[10]Team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'[10]Team Report'!BA40</f>
        <v>47150.06</v>
      </c>
      <c r="E35" s="64" t="n">
        <f aca="false">(C35/9)*12</f>
        <v>62866.7466666667</v>
      </c>
      <c r="F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'[10]Team Report'!BA41</f>
        <v>150417.01</v>
      </c>
      <c r="E36" s="64" t="n">
        <f aca="false">(C36/9)*12</f>
        <v>200556.013333333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'[10]Team Report'!BA43</f>
        <v>7417.54</v>
      </c>
      <c r="E37" s="64" t="n">
        <f aca="false">(C37/9)*12</f>
        <v>9890.05333333333</v>
      </c>
      <c r="F37" s="64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'[10]Team Report'!BA45</f>
        <v>11194108.38</v>
      </c>
      <c r="E38" s="64" t="n">
        <f aca="false">(C38/9)*12</f>
        <v>14925477.84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32191701.9066667</v>
      </c>
      <c r="F39" s="64"/>
    </row>
    <row r="40" customFormat="false" ht="12.75" hidden="true" customHeight="false" outlineLevel="0" collapsed="false">
      <c r="B40" s="63" t="s">
        <v>146</v>
      </c>
      <c r="C40" s="64" t="n">
        <v>243106037</v>
      </c>
      <c r="E40" s="64"/>
      <c r="F40" s="64"/>
      <c r="N40" s="49"/>
    </row>
    <row r="44" customFormat="false" ht="12.75" hidden="false" customHeight="false" outlineLevel="0" collapsed="false">
      <c r="C44" s="102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5" min="14" style="0" width="9.14"/>
  </cols>
  <sheetData>
    <row r="1" customFormat="false" ht="18" hidden="false" customHeight="false" outlineLevel="0" collapsed="false">
      <c r="B1" s="50" t="str">
        <f aca="false">'[10]Team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tr">
        <f aca="false">'[10]Pull Sheet'!E9</f>
        <v>Office of the Chair</v>
      </c>
      <c r="C2" s="50"/>
      <c r="D2" s="50"/>
      <c r="E2" s="50"/>
      <c r="F2" s="50"/>
      <c r="G2" s="52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4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 t="n">
        <v>2002</v>
      </c>
      <c r="J6" s="88"/>
      <c r="K6" s="80" t="s">
        <v>105</v>
      </c>
      <c r="L6" s="80" t="s">
        <v>106</v>
      </c>
      <c r="M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224</v>
      </c>
      <c r="F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'[10]Team Report'!BA25</f>
        <v>888807.72</v>
      </c>
      <c r="E8" s="64" t="n">
        <f aca="false">(C8/9)*12</f>
        <v>1185076.96</v>
      </c>
      <c r="F8" s="64" t="n">
        <f aca="false">(+M21)*1.2</f>
        <v>1080000</v>
      </c>
      <c r="J8" s="88"/>
      <c r="M8" s="59"/>
      <c r="O8" s="64" t="n">
        <f aca="false">+F8/$F$29*$O$29</f>
        <v>360000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v>0</v>
      </c>
      <c r="J9" s="88" t="s">
        <v>116</v>
      </c>
      <c r="K9" s="49" t="n">
        <v>0</v>
      </c>
      <c r="L9" s="49" t="n">
        <f aca="false">+L21</f>
        <v>3</v>
      </c>
      <c r="M9" s="59" t="n">
        <f aca="false">M21</f>
        <v>900000</v>
      </c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v>0</v>
      </c>
      <c r="J10" s="88"/>
      <c r="M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'[10]Team Report'!BA26</f>
        <v>249788.37</v>
      </c>
      <c r="E11" s="64" t="n">
        <f aca="false">(C11/9)*12</f>
        <v>333051.16</v>
      </c>
      <c r="F11" s="64" t="n">
        <f aca="false">(+F8*0.2)*1.2</f>
        <v>259200</v>
      </c>
      <c r="J11" s="88"/>
      <c r="M11" s="59"/>
      <c r="O11" s="64" t="n">
        <f aca="false">+F11/$F$29*$O$29</f>
        <v>86400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'[10]Team Report'!BA27</f>
        <v>180082.13</v>
      </c>
      <c r="E12" s="64" t="n">
        <f aca="false">(C12/9)*12</f>
        <v>240109.506666667</v>
      </c>
      <c r="F12" s="64" t="n">
        <f aca="false">(+'Office of the Chair'!F12-'OOC Admin'!F12)*1.2</f>
        <v>304266.766848</v>
      </c>
      <c r="J12" s="88" t="s">
        <v>78</v>
      </c>
      <c r="K12" s="49" t="n">
        <f aca="false">(E12+E13+E14+E15+E16+E17+E18+E19+E20+E21+E22)/E29</f>
        <v>123221.090666665</v>
      </c>
      <c r="L12" s="49" t="n">
        <f aca="false">+L21</f>
        <v>3</v>
      </c>
      <c r="M12" s="59" t="n">
        <f aca="false">K12*L12</f>
        <v>369663.271999994</v>
      </c>
      <c r="O12" s="64" t="n">
        <f aca="false">+F12/$F$29*$O$29</f>
        <v>101422.255616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'[10]Team Report'!BA28</f>
        <v>201416.5</v>
      </c>
      <c r="E13" s="64" t="n">
        <f aca="false">(C13/9)*12</f>
        <v>268555.333333333</v>
      </c>
      <c r="F13" s="64" t="n">
        <f aca="false">(+'Office of the Chair'!F13-'OOC Admin'!F13)*1.2</f>
        <v>340313.3184</v>
      </c>
      <c r="J13" s="88"/>
      <c r="M13" s="59"/>
      <c r="O13" s="64" t="n">
        <f aca="false">+F13/$F$29*$O$29</f>
        <v>113437.7728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F14" s="64" t="n">
        <f aca="false">(+E14/$E$29*$F$29)*1.2</f>
        <v>0</v>
      </c>
      <c r="J14" s="93" t="s">
        <v>125</v>
      </c>
      <c r="K14" s="70"/>
      <c r="L14" s="70"/>
      <c r="M14" s="71" t="n">
        <f aca="false">SUM(M9:M12)</f>
        <v>1269663.27199999</v>
      </c>
      <c r="O14" s="64" t="n">
        <f aca="false">+F14/$F$29*$O$29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'[10]Team Report'!BA33</f>
        <v>10998.16</v>
      </c>
      <c r="E15" s="64" t="n">
        <f aca="false">(C15/9)*12</f>
        <v>14664.2133333333</v>
      </c>
      <c r="F15" s="64" t="n">
        <f aca="false">(+E15/$E$29*$F$29)*1.2</f>
        <v>10558.2336</v>
      </c>
      <c r="J15" s="26"/>
      <c r="O15" s="64" t="n">
        <f aca="false">+F15/$F$29*$O$29</f>
        <v>3519.4112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'[10]Team Report'!BA34</f>
        <v>0</v>
      </c>
      <c r="E16" s="64" t="n">
        <f aca="false">(C16/9)*12</f>
        <v>0</v>
      </c>
      <c r="F16" s="64" t="n">
        <f aca="false">(+E16/$E$29*$F$29)*1.2</f>
        <v>0</v>
      </c>
      <c r="J16" s="26"/>
      <c r="L16" s="10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'[10]Team Report'!BA35</f>
        <v>25000</v>
      </c>
      <c r="E17" s="64" t="n">
        <f aca="false">(C17/9)*12</f>
        <v>33333.3333333333</v>
      </c>
      <c r="F17" s="64" t="n">
        <f aca="false">(+'Office of the Chair'!F17-'OOC Admin'!F17)*1.2</f>
        <v>48000</v>
      </c>
      <c r="O17" s="64" t="n">
        <f aca="false">+F17/$F$29*$O$29</f>
        <v>16000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'[10]Team Report'!BA36</f>
        <v>2602.32</v>
      </c>
      <c r="E18" s="64" t="n">
        <f aca="false">(C18/9)*12</f>
        <v>3469.76</v>
      </c>
      <c r="F18" s="64" t="n">
        <f aca="false">(+E18/$E$29*$F$29)*1.2</f>
        <v>2498.2272</v>
      </c>
      <c r="J18" s="0" t="s">
        <v>135</v>
      </c>
      <c r="K18" s="49" t="n">
        <v>55000</v>
      </c>
      <c r="L18" s="49" t="n">
        <v>0</v>
      </c>
      <c r="M18" s="49" t="n">
        <f aca="false">K18*L18</f>
        <v>0</v>
      </c>
      <c r="O18" s="64" t="n">
        <f aca="false">+F18/$F$29*$O$29</f>
        <v>832.7424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'[10]Team Report'!BA37</f>
        <v>40643.17</v>
      </c>
      <c r="E19" s="64" t="n">
        <f aca="false">(C19/9)*12</f>
        <v>54190.8933333333</v>
      </c>
      <c r="F19" s="64" t="n">
        <f aca="false">(+'Office of the Chair'!F19-'OOC Admin'!F19)*1.2</f>
        <v>54624.42048</v>
      </c>
      <c r="J19" s="0" t="s">
        <v>226</v>
      </c>
      <c r="K19" s="49" t="n">
        <v>250000</v>
      </c>
      <c r="L19" s="49" t="n">
        <v>1</v>
      </c>
      <c r="M19" s="49" t="n">
        <f aca="false">K19*L19</f>
        <v>250000</v>
      </c>
      <c r="O19" s="64" t="n">
        <f aca="false">+F19/$F$29*$O$29</f>
        <v>18208.14016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'[10]Team Report'!BA38</f>
        <v>1258.2</v>
      </c>
      <c r="E20" s="64" t="n">
        <f aca="false">(C20/9)*12</f>
        <v>1677.6</v>
      </c>
      <c r="F20" s="64" t="n">
        <f aca="false">(+E20/$E$29*$F$29)*1.2</f>
        <v>1207.872</v>
      </c>
      <c r="J20" s="0" t="s">
        <v>212</v>
      </c>
      <c r="K20" s="49" t="n">
        <v>250000</v>
      </c>
      <c r="L20" s="49" t="n">
        <v>2</v>
      </c>
      <c r="M20" s="49" t="n">
        <f aca="false">K20*L20</f>
        <v>500000</v>
      </c>
      <c r="O20" s="64" t="n">
        <f aca="false">+F20/$F$29*$O$29</f>
        <v>402.624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'[10]Team Report'!BA42-C40</f>
        <v>-0.180000007152557</v>
      </c>
      <c r="E21" s="64" t="n">
        <f aca="false">(C21/9)*12</f>
        <v>-0.240000009536743</v>
      </c>
      <c r="F21" s="64" t="n">
        <f aca="false">(+E21/$E$29*$F$29)*1.2</f>
        <v>-0.172800006866455</v>
      </c>
      <c r="L21" s="49" t="n">
        <f aca="false">SUM(L18:L20)</f>
        <v>3</v>
      </c>
      <c r="M21" s="49" t="n">
        <f aca="false">SUM(M18:M20)*1.2</f>
        <v>900000</v>
      </c>
      <c r="O21" s="64" t="n">
        <f aca="false">+F21/$F$29*$O$29</f>
        <v>-0.0576000022888184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'[10]Team Report'!BA44</f>
        <v>78.79</v>
      </c>
      <c r="E22" s="64" t="n">
        <f aca="false">(C22/9)*12</f>
        <v>105.053333333333</v>
      </c>
      <c r="F22" s="64" t="n">
        <f aca="false">(+E22/$E$29*$F$29)*1.2</f>
        <v>75.6384</v>
      </c>
      <c r="L22" s="78"/>
      <c r="M22" s="78"/>
      <c r="O22" s="64" t="n">
        <f aca="false">+F22/$F$29*$O$29</f>
        <v>25.2128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1600675.17999999</v>
      </c>
      <c r="E23" s="74" t="n">
        <f aca="false">SUM(E8:E22)</f>
        <v>2134233.57333332</v>
      </c>
      <c r="F23" s="74" t="n">
        <f aca="false">SUM(F8:F22)</f>
        <v>2100744.30412799</v>
      </c>
      <c r="O23" s="96" t="n">
        <f aca="false">SUM(O8:O22)</f>
        <v>700248.101375998</v>
      </c>
    </row>
    <row r="25" customFormat="false" ht="12.75" hidden="false" customHeight="false" outlineLevel="0" collapsed="false">
      <c r="B25" s="73" t="s">
        <v>7</v>
      </c>
      <c r="C25" s="107"/>
      <c r="E25" s="107" t="n">
        <v>5</v>
      </c>
      <c r="F25" s="108" t="n">
        <f aca="false">SUM(L18:L20)</f>
        <v>3</v>
      </c>
      <c r="I25" s="16" t="s">
        <v>160</v>
      </c>
      <c r="J25" s="49"/>
      <c r="M25" s="0"/>
      <c r="O25" s="77" t="n">
        <f aca="false">SUM(U16:U20,U23:U27)</f>
        <v>0</v>
      </c>
    </row>
    <row r="26" customFormat="false" ht="12.75" hidden="false" customHeight="false" outlineLevel="0" collapsed="false">
      <c r="J26" s="49"/>
      <c r="M26" s="0"/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107"/>
      <c r="I27" s="79" t="s">
        <v>161</v>
      </c>
      <c r="J27" s="80" t="s">
        <v>162</v>
      </c>
      <c r="K27" s="80" t="s">
        <v>163</v>
      </c>
      <c r="L27" s="80" t="s">
        <v>106</v>
      </c>
      <c r="M27" s="80" t="s">
        <v>164</v>
      </c>
      <c r="O27" s="77" t="n">
        <f aca="false">SUM(U21:U22)</f>
        <v>0</v>
      </c>
    </row>
    <row r="28" customFormat="false" ht="12.75" hidden="false" customHeight="false" outlineLevel="0" collapsed="false">
      <c r="I28" s="81" t="n">
        <f aca="false">SUM(E12:E22)</f>
        <v>616105.453333324</v>
      </c>
      <c r="J28" s="109" t="n">
        <f aca="false">+E29</f>
        <v>5</v>
      </c>
      <c r="K28" s="80" t="n">
        <f aca="false">+I28/J28</f>
        <v>123221.090666665</v>
      </c>
      <c r="L28" s="80" t="n">
        <f aca="false">+L12</f>
        <v>3</v>
      </c>
      <c r="M28" s="80" t="n">
        <f aca="false">+K28*L28</f>
        <v>369663.271999994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5</v>
      </c>
      <c r="F29" s="107" t="n">
        <f aca="false">SUM(F25:F28)</f>
        <v>3</v>
      </c>
      <c r="K29" s="0"/>
      <c r="M29" s="0"/>
      <c r="O29" s="77" t="n">
        <v>1</v>
      </c>
    </row>
    <row r="30" customFormat="false" ht="12.75" hidden="false" customHeight="false" outlineLevel="0" collapsed="false">
      <c r="B30" s="73"/>
      <c r="K30" s="0"/>
      <c r="M30" s="0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'[10]Team Report'!BA29</f>
        <v>143473.75</v>
      </c>
      <c r="E31" s="64" t="n">
        <f aca="false">(C31/9)*12</f>
        <v>191298.333333333</v>
      </c>
      <c r="F31" s="64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'[10]Team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'[10]Team Report'!BA31</f>
        <v>0</v>
      </c>
      <c r="E33" s="64" t="n">
        <f aca="false">(C33/9)*12</f>
        <v>0</v>
      </c>
      <c r="F33" s="64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'[10]Team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'[10]Team Report'!BA40</f>
        <v>47150.06</v>
      </c>
      <c r="E35" s="64" t="n">
        <f aca="false">(C35/9)*12</f>
        <v>62866.7466666667</v>
      </c>
      <c r="F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'[10]Team Report'!BA41</f>
        <v>150417.01</v>
      </c>
      <c r="E36" s="64" t="n">
        <f aca="false">(C36/9)*12</f>
        <v>200556.013333333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'[10]Team Report'!BA43</f>
        <v>7417.54</v>
      </c>
      <c r="E37" s="64" t="n">
        <f aca="false">(C37/9)*12</f>
        <v>9890.05333333333</v>
      </c>
      <c r="F37" s="64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'[10]Team Report'!BA45</f>
        <v>11194108.38</v>
      </c>
      <c r="E38" s="64" t="n">
        <f aca="false">(C38/9)*12</f>
        <v>14925477.84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32191701.9066667</v>
      </c>
      <c r="F39" s="64"/>
    </row>
    <row r="40" customFormat="false" ht="12.75" hidden="true" customHeight="false" outlineLevel="0" collapsed="false">
      <c r="B40" s="63" t="s">
        <v>146</v>
      </c>
      <c r="C40" s="64" t="n">
        <v>243106037</v>
      </c>
      <c r="E40" s="64"/>
      <c r="F40" s="64"/>
      <c r="N40" s="49"/>
    </row>
    <row r="44" customFormat="false" ht="12.75" hidden="false" customHeight="false" outlineLevel="0" collapsed="false">
      <c r="C44" s="102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36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235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(M16+M17+M18+M19+M20+M23+M24+M26)*1.2</f>
        <v>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1874880</v>
      </c>
      <c r="O8" s="64" t="n">
        <f aca="false">+F8/$F$29*$O$29</f>
        <v>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1874880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104160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374976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18</v>
      </c>
      <c r="M11" s="92" t="n">
        <f aca="false">K11*L11</f>
        <v>570171.274212766</v>
      </c>
      <c r="O11" s="64" t="n">
        <f aca="false">+F11/$F$29*$O$29</f>
        <v>20832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(E12/$E$29*$L$11)*1.2</f>
        <v>136391.211574468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7577.28953191489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(E13/$E$29*$L$11)*1.2</f>
        <v>248627.43666383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2445051.27421277</v>
      </c>
      <c r="O13" s="64" t="n">
        <f aca="false">+F13/$F$29*$O$29</f>
        <v>13812.6353702128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(E14/$E$29*$L$11)*1.2</f>
        <v>0.0931404255615904</v>
      </c>
      <c r="H14" s="91" t="n">
        <f aca="false">E14/$E$23</f>
        <v>2.98539034593965E-008</v>
      </c>
      <c r="N14" s="66"/>
      <c r="O14" s="64" t="n">
        <f aca="false">+F14/$F$29*$O$29</f>
        <v>0.00517446808675502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22850.5646297872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1299.06382978723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0</v>
      </c>
      <c r="M17" s="49" t="n">
        <f aca="false">K17*L17</f>
        <v>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70.4166127659566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119403.378382979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f aca="false">(E20/$E$29*$L$11)*1.2</f>
        <v>19.1624170212766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0</v>
      </c>
      <c r="M20" s="49" t="n">
        <f aca="false">K20*L20</f>
        <v>0</v>
      </c>
      <c r="O20" s="64" t="n">
        <f aca="false">+F20/$F$29*$O$29</f>
        <v>1.06457872340426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155252.466382979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f aca="false">6</f>
        <v>6</v>
      </c>
      <c r="M21" s="49" t="n">
        <f aca="false">K21*L21</f>
        <v>396000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291.735421276596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12</v>
      </c>
      <c r="M22" s="49" t="n">
        <f aca="false">K22*L22</f>
        <v>1166400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2934061.52905532</v>
      </c>
      <c r="H23" s="97" t="n">
        <f aca="false">SUM(H8:H22)</f>
        <v>1</v>
      </c>
      <c r="J23" s="0" t="s">
        <v>153</v>
      </c>
      <c r="K23" s="49" t="n">
        <v>120000</v>
      </c>
      <c r="L23" s="0" t="n">
        <v>0</v>
      </c>
      <c r="M23" s="49" t="n">
        <f aca="false">K23*L23</f>
        <v>0</v>
      </c>
      <c r="O23" s="96" t="n">
        <f aca="false">SUM(O8:O22)</f>
        <v>163003.418280851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0</v>
      </c>
      <c r="M24" s="49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0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0</v>
      </c>
      <c r="M26" s="49" t="n">
        <f aca="false">K26*L26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18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18</v>
      </c>
      <c r="M28" s="49" t="n">
        <f aca="false">SUM(M16:M27)</f>
        <v>1562400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18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18</v>
      </c>
      <c r="M34" s="80" t="n">
        <f aca="false">+K34*L34</f>
        <v>570171.274212766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7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</row>
    <row r="2" customFormat="false" ht="18" hidden="false" customHeight="false" outlineLevel="0" collapsed="false">
      <c r="B2" s="50" t="s">
        <v>236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O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O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(+'East-Trading AA'!H8+'West-Trading AA'!H8+'Texas-Trading AA'!H8+'Financial - AA'!H8+'Derivatives AA'!H8+'Central - Trading AA'!H8+'Crude AA'!H8)*1.2</f>
        <v>0</v>
      </c>
      <c r="I8" s="58" t="s">
        <v>116</v>
      </c>
      <c r="J8" s="49" t="n">
        <v>0</v>
      </c>
      <c r="L8" s="59" t="n">
        <f aca="false">L30</f>
        <v>1512720</v>
      </c>
      <c r="O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f aca="false">(+'East-Trading AA'!H9+'West-Trading AA'!H9+'Texas-Trading AA'!H9+'Financial - AA'!H9+'Derivatives AA'!H9+'Central - Trading AA'!H9+'Crude AA'!H9)*1.2</f>
        <v>0</v>
      </c>
      <c r="I9" s="58"/>
      <c r="L9" s="59"/>
      <c r="O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f aca="false">(+'East-Trading AA'!H10+'West-Trading AA'!H10+'Texas-Trading AA'!H10+'Financial - AA'!H10+'Derivatives AA'!H10+'Central - Trading AA'!H10+'Crude AA'!H10)*1.2</f>
        <v>1201440</v>
      </c>
      <c r="I10" s="58"/>
      <c r="L10" s="59"/>
      <c r="O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(+'East-Trading AA'!H11+'West-Trading AA'!H11+'Texas-Trading AA'!H11+'Financial - AA'!H11+'Derivatives AA'!H11+'Central - Trading AA'!H11+'Crude AA'!H11)*1.2</f>
        <v>247948.8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8</v>
      </c>
      <c r="L11" s="59" t="n">
        <f aca="false">J11*K11</f>
        <v>386161.45</v>
      </c>
      <c r="O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(+'East-Trading AA'!H12+'West-Trading AA'!H12+'Texas-Trading AA'!H12+'Financial - AA'!H12+'Derivatives AA'!H12+'Central - Trading AA'!H12+'Crude AA'!H12)*1.2</f>
        <v>105734.9055</v>
      </c>
      <c r="I12" s="58"/>
      <c r="L12" s="59"/>
      <c r="O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(+'East-Trading AA'!H13+'West-Trading AA'!H13+'Texas-Trading AA'!H13+'Financial - AA'!H13+'Derivatives AA'!H13+'Central - Trading AA'!H13+'Crude AA'!H13)*1.2</f>
        <v>135713.8966</v>
      </c>
      <c r="I13" s="69" t="s">
        <v>125</v>
      </c>
      <c r="J13" s="70"/>
      <c r="K13" s="70"/>
      <c r="L13" s="71" t="n">
        <f aca="false">L8+L11</f>
        <v>1898881.45</v>
      </c>
      <c r="O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(+'East-Trading AA'!H14+'West-Trading AA'!H14+'Texas-Trading AA'!H14+'Financial - AA'!H14+'Derivatives AA'!H14+'Central - Trading AA'!H14+'Crude AA'!H14)*1.2</f>
        <v>2400.0072</v>
      </c>
      <c r="O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(+'East-Trading AA'!H15+'West-Trading AA'!H15+'Texas-Trading AA'!H15+'Financial - AA'!H15+'Derivatives AA'!H15+'Central - Trading AA'!H15+'Crude AA'!H15)*1.2</f>
        <v>57736.89</v>
      </c>
      <c r="O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(+'East-Trading AA'!H16+'West-Trading AA'!H16+'Texas-Trading AA'!H16+'Financial - AA'!H16+'Derivatives AA'!H16+'Central - Trading AA'!H16+'Crude AA'!H16)*1.2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O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(+'East-Trading AA'!H17+'West-Trading AA'!H17+'Texas-Trading AA'!H17+'Financial - AA'!H17+'Derivatives AA'!H17+'Central - Trading AA'!H17+'Crude AA'!H17)*1.2</f>
        <v>865.6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O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(+'East-Trading AA'!H18+'West-Trading AA'!H18+'Texas-Trading AA'!H18+'Financial - AA'!H18+'Derivatives AA'!H18+'Central - Trading AA'!H18+'Crude AA'!H18)*1.2</f>
        <v>12214.546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O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(+'East-Trading AA'!H19+'West-Trading AA'!H19+'Texas-Trading AA'!H19+'Financial - AA'!H19+'Derivatives AA'!H19+'Central - Trading AA'!H19+'Crude AA'!H19)*1.2</f>
        <v>104460.516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O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(+'East-Trading AA'!H20+'West-Trading AA'!H20+'Texas-Trading AA'!H20+'Financial - AA'!H20+'Derivatives AA'!H20+'Central - Trading AA'!H20+'Crude AA'!H20)*1.2</f>
        <v>2.63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O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(+'East-Trading AA'!H21+'West-Trading AA'!H21+'Texas-Trading AA'!H21+'Financial - AA'!H21+'Derivatives AA'!H21+'Central - Trading AA'!H21+'Crude AA'!H21)*1.2</f>
        <v>23303.6673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(+'East-Trading AA'!H22+'West-Trading AA'!H22+'Texas-Trading AA'!H22+'Financial - AA'!H22+'Derivatives AA'!H22+'Central - Trading AA'!H22+'Crude AA'!H22)*1.2</f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1891821.4586</v>
      </c>
      <c r="I23" s="49" t="s">
        <v>153</v>
      </c>
      <c r="J23" s="49" t="n">
        <v>110000</v>
      </c>
      <c r="K23" s="49" t="n">
        <v>2</v>
      </c>
      <c r="L23" s="49" t="n">
        <f aca="false">J23*K23</f>
        <v>220000</v>
      </c>
      <c r="O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4</v>
      </c>
      <c r="L24" s="49" t="n">
        <f aca="false">J24*K24</f>
        <v>572000</v>
      </c>
      <c r="O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+'East-Trading AA'!H25+'West-Trading AA'!H25+'Texas-Trading AA'!H25+'Financial - AA'!H25+'Derivatives AA'!H25+'Central - Trading AA'!H25</f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O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+'East-Trading AA'!H27+'West-Trading AA'!H27+'Texas-Trading AA'!H27+'Financial - AA'!H27+'Derivatives AA'!H27+'Central - Trading AA'!H27+'Crude AA'!H27</f>
        <v>13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64"/>
    </row>
    <row r="28" customFormat="false" ht="12.75" hidden="false" customHeight="false" outlineLevel="0" collapsed="false">
      <c r="K28" s="49" t="n">
        <f aca="false">SUM(K16:K27)</f>
        <v>8</v>
      </c>
      <c r="L28" s="49" t="n">
        <f aca="false">SUM(L16:L27)*1.2</f>
        <v>1260600</v>
      </c>
      <c r="O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13</v>
      </c>
      <c r="L29" s="78" t="n">
        <v>0.2</v>
      </c>
      <c r="O29" s="64"/>
    </row>
    <row r="30" customFormat="false" ht="12.75" hidden="true" customHeight="false" outlineLevel="0" collapsed="false">
      <c r="L30" s="49" t="n">
        <f aca="false">L28*1.2</f>
        <v>1512720</v>
      </c>
      <c r="O30" s="26"/>
    </row>
    <row r="31" customFormat="false" ht="12.75" hidden="true" customHeight="false" outlineLevel="0" collapsed="false">
      <c r="H31" s="16" t="s">
        <v>160</v>
      </c>
      <c r="L31" s="0"/>
      <c r="O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O34" s="26"/>
    </row>
    <row r="35" customFormat="false" ht="12.75" hidden="true" customHeight="false" outlineLevel="0" collapsed="false">
      <c r="O35" s="26"/>
    </row>
    <row r="36" customFormat="false" ht="12.75" hidden="true" customHeight="false" outlineLevel="0" collapsed="false">
      <c r="O36" s="26"/>
    </row>
    <row r="37" customFormat="false" ht="12.75" hidden="true" customHeight="false" outlineLevel="0" collapsed="false">
      <c r="O37" s="26"/>
    </row>
    <row r="38" customFormat="false" ht="12.75" hidden="true" customHeight="false" outlineLevel="0" collapsed="false">
      <c r="O38" s="26"/>
    </row>
    <row r="39" customFormat="false" ht="12.75" hidden="false" customHeight="false" outlineLevel="0" collapsed="false">
      <c r="O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1" activeCellId="0" sqref="O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false" outlineLevel="0" max="14" min="14" style="0" width="13.99"/>
    <col collapsed="false" customWidth="true" hidden="false" outlineLevel="0" max="15" min="15" style="0" width="13.85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237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0</v>
      </c>
      <c r="I8" s="58" t="s">
        <v>116</v>
      </c>
      <c r="J8" s="49" t="n">
        <v>0</v>
      </c>
      <c r="L8" s="59" t="n">
        <f aca="false">L30</f>
        <v>128304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89100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+H10*0.2</f>
        <v>17820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</v>
      </c>
      <c r="L11" s="59" t="n">
        <f aca="false">J11*K11</f>
        <v>48270.18125</v>
      </c>
      <c r="N11" s="67" t="s">
        <v>21</v>
      </c>
      <c r="O11" s="67" t="s">
        <v>199</v>
      </c>
      <c r="P11" s="67" t="s">
        <v>174</v>
      </c>
      <c r="Q11" s="67" t="s">
        <v>200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6162.47375</v>
      </c>
      <c r="I12" s="58"/>
      <c r="L12" s="59"/>
      <c r="N12" s="67" t="s">
        <v>21</v>
      </c>
      <c r="O12" s="67" t="s">
        <v>201</v>
      </c>
      <c r="P12" s="67" t="s">
        <v>177</v>
      </c>
      <c r="Q12" s="67" t="s">
        <v>200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(E13/$E$29)*$K$11</f>
        <v>5484.95691666667</v>
      </c>
      <c r="I13" s="69" t="s">
        <v>125</v>
      </c>
      <c r="J13" s="70"/>
      <c r="K13" s="70"/>
      <c r="L13" s="71" t="n">
        <f aca="false">L8+L11</f>
        <v>176574.18125</v>
      </c>
      <c r="N13" s="67" t="s">
        <v>21</v>
      </c>
      <c r="O13" s="67" t="s">
        <v>202</v>
      </c>
      <c r="P13" s="67" t="s">
        <v>171</v>
      </c>
      <c r="Q13" s="67" t="s">
        <v>203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</f>
        <v>0.00200000000016492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871.358333333333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49.1666666666667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892.957666666667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910.086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0.133333333333333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1131.57425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1</v>
      </c>
      <c r="L22" s="49" t="n">
        <f aca="false">J22*K22</f>
        <v>89100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122422.708916667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0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</v>
      </c>
      <c r="L28" s="49" t="n">
        <f aca="false">SUM(L16:L27)*1.2</f>
        <v>106920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128304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</v>
      </c>
      <c r="L34" s="80" t="n">
        <f aca="false">+J34*K34</f>
        <v>48270.18125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5" min="15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</row>
    <row r="2" customFormat="false" ht="18" hidden="false" customHeight="false" outlineLevel="0" collapsed="false">
      <c r="B2" s="50" t="s">
        <v>165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O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O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1230000</v>
      </c>
      <c r="I8" s="58" t="s">
        <v>116</v>
      </c>
      <c r="J8" s="49" t="n">
        <v>0</v>
      </c>
      <c r="L8" s="59" t="n">
        <f aca="false">L30</f>
        <v>1512720</v>
      </c>
      <c r="O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O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O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(+H8*0.2)</f>
        <v>246000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8</v>
      </c>
      <c r="L11" s="59" t="n">
        <f aca="false">J11*K11</f>
        <v>386161.45</v>
      </c>
      <c r="O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26250</v>
      </c>
      <c r="I12" s="58"/>
      <c r="L12" s="59"/>
      <c r="O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26250</v>
      </c>
      <c r="I13" s="69" t="s">
        <v>125</v>
      </c>
      <c r="J13" s="70"/>
      <c r="K13" s="70"/>
      <c r="L13" s="71" t="n">
        <f aca="false">L8+L11</f>
        <v>1898881.45</v>
      </c>
      <c r="O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O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21000</v>
      </c>
      <c r="O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O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525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O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O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105000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O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1.05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O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26250</v>
      </c>
      <c r="I21" s="49" t="s">
        <v>147</v>
      </c>
      <c r="J21" s="49" t="n">
        <v>60500</v>
      </c>
      <c r="K21" s="49" t="n">
        <v>1</v>
      </c>
      <c r="L21" s="49" t="n">
        <f aca="false">J21*K21</f>
        <v>60500</v>
      </c>
      <c r="O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4285986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O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5967262.05</v>
      </c>
      <c r="I23" s="49" t="s">
        <v>153</v>
      </c>
      <c r="J23" s="49" t="n">
        <v>110000</v>
      </c>
      <c r="K23" s="49" t="n">
        <v>2</v>
      </c>
      <c r="L23" s="49" t="n">
        <f aca="false">J23*K23</f>
        <v>220000</v>
      </c>
      <c r="O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4</v>
      </c>
      <c r="L24" s="49" t="n">
        <f aca="false">J24*K24</f>
        <v>572000</v>
      </c>
      <c r="O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7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O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O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O27" s="64"/>
    </row>
    <row r="28" customFormat="false" ht="12.75" hidden="false" customHeight="false" outlineLevel="0" collapsed="false">
      <c r="K28" s="49" t="n">
        <f aca="false">SUM(K16:K27)</f>
        <v>8</v>
      </c>
      <c r="L28" s="49" t="n">
        <f aca="false">SUM(L16:L27)*1.2</f>
        <v>1260600</v>
      </c>
      <c r="O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7</v>
      </c>
      <c r="L29" s="78" t="n">
        <v>0.2</v>
      </c>
      <c r="O29" s="64"/>
    </row>
    <row r="30" customFormat="false" ht="12.75" hidden="true" customHeight="false" outlineLevel="0" collapsed="false">
      <c r="L30" s="49" t="n">
        <f aca="false">L28*1.2</f>
        <v>1512720</v>
      </c>
      <c r="O30" s="26"/>
    </row>
    <row r="31" customFormat="false" ht="12.75" hidden="true" customHeight="false" outlineLevel="0" collapsed="false">
      <c r="H31" s="16" t="s">
        <v>160</v>
      </c>
      <c r="L31" s="0"/>
      <c r="O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O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O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8</v>
      </c>
      <c r="L34" s="80" t="n">
        <f aca="false">+J34*K34</f>
        <v>386161.45</v>
      </c>
      <c r="O34" s="26"/>
    </row>
    <row r="35" customFormat="false" ht="12.75" hidden="true" customHeight="false" outlineLevel="0" collapsed="false">
      <c r="O35" s="26"/>
    </row>
    <row r="36" customFormat="false" ht="12.75" hidden="true" customHeight="false" outlineLevel="0" collapsed="false">
      <c r="O36" s="26"/>
    </row>
    <row r="37" customFormat="false" ht="12.75" hidden="true" customHeight="false" outlineLevel="0" collapsed="false">
      <c r="O37" s="26"/>
    </row>
    <row r="38" customFormat="false" ht="12.75" hidden="true" customHeight="false" outlineLevel="0" collapsed="false">
      <c r="O38" s="26"/>
    </row>
    <row r="39" customFormat="false" ht="12.75" hidden="false" customHeight="false" outlineLevel="0" collapsed="false">
      <c r="O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  <col collapsed="false" customWidth="false" hidden="true" outlineLevel="0" max="51" min="51" style="0" width="9.06"/>
    <col collapsed="false" customWidth="true" hidden="true" outlineLevel="0" max="52" min="52" style="0" width="21.13"/>
    <col collapsed="false" customWidth="true" hidden="true" outlineLevel="0" max="53" min="53" style="0" width="11.56"/>
    <col collapsed="false" customWidth="true" hidden="false" outlineLevel="0" max="54" min="54" style="0" width="8.56"/>
  </cols>
  <sheetData>
    <row r="1" customFormat="false" ht="18" hidden="false" customHeight="false" outlineLevel="0" collapsed="false">
      <c r="B1" s="50" t="str">
        <f aca="false">'[6]Team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238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'[7]Executive Orig'!C8+[7]Trading!C8+[7]Origination!C8+'[7]Mid Market'!C8+[7]Services!C8+[7]Fundamentals!C8</f>
        <v>4789958.99</v>
      </c>
      <c r="E8" s="64" t="n">
        <f aca="false">(C8/9)*12</f>
        <v>6386611.98666667</v>
      </c>
      <c r="F8" s="64"/>
      <c r="G8" s="64" t="n">
        <f aca="false">(SUM(N16:N20,N23:N27))*1.2</f>
        <v>0</v>
      </c>
      <c r="H8" s="64"/>
      <c r="I8" s="91" t="n">
        <f aca="false">+G8/$G$23</f>
        <v>0</v>
      </c>
      <c r="K8" s="88" t="s">
        <v>116</v>
      </c>
      <c r="L8" s="49" t="n">
        <v>0</v>
      </c>
      <c r="M8" s="26" t="n">
        <v>64</v>
      </c>
      <c r="N8" s="92" t="n">
        <f aca="false">N28</f>
        <v>671040</v>
      </c>
      <c r="O8" s="64" t="n">
        <f aca="false">+G8/$G$29*$O$29</f>
        <v>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'[7]Executive Orig'!C9+[7]Trading!C9+[7]Origination!C9+'[7]Mid Market'!C9+[7]Services!C9+[7]Fundamentals!C9</f>
        <v>1464000</v>
      </c>
      <c r="E9" s="64" t="n">
        <f aca="false">+C9</f>
        <v>1464000</v>
      </c>
      <c r="F9" s="64"/>
      <c r="G9" s="64" t="n">
        <v>0</v>
      </c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'[7]Executive Orig'!C10+[7]Trading!C10+[7]Origination!C10+'[7]Mid Market'!C10+[7]Services!C10+[7]Fundamentals!C10</f>
        <v>804567</v>
      </c>
      <c r="E10" s="64" t="n">
        <f aca="false">(C10/9)*12</f>
        <v>1072756</v>
      </c>
      <c r="F10" s="64"/>
      <c r="G10" s="64" t="n">
        <f aca="false">(+N21+N22)*1.2</f>
        <v>671040</v>
      </c>
      <c r="H10" s="64"/>
      <c r="I10" s="91" t="n">
        <f aca="false">+G10/$G$23</f>
        <v>0.631537932152291</v>
      </c>
      <c r="K10" s="88"/>
      <c r="L10" s="26"/>
      <c r="M10" s="26"/>
      <c r="N10" s="89"/>
      <c r="O10" s="64" t="n">
        <f aca="false">+G10/$G$29*$O$29</f>
        <v>83880</v>
      </c>
      <c r="AZ10" s="67"/>
      <c r="BA10" s="67"/>
      <c r="BB10" s="67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'[7]Executive Orig'!C11+[7]Trading!C11+[7]Origination!C11+'[7]Mid Market'!C11+[7]Services!C11+[7]Fundamentals!C11</f>
        <v>1096068.21</v>
      </c>
      <c r="E11" s="64" t="n">
        <f aca="false">(C11/9)*12</f>
        <v>1461424.28</v>
      </c>
      <c r="F11" s="64"/>
      <c r="G11" s="64" t="n">
        <f aca="false">(+G8*0.2+(N21+N22)*0.2)*1.2</f>
        <v>134208</v>
      </c>
      <c r="H11" s="64"/>
      <c r="I11" s="91" t="n">
        <f aca="false">+G11/$G$23</f>
        <v>0.126307586430458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8</v>
      </c>
      <c r="N11" s="92" t="n">
        <f aca="false">L11*M11</f>
        <v>380270.842247191</v>
      </c>
      <c r="O11" s="64" t="n">
        <f aca="false">+G11/$G$29*$O$29</f>
        <v>16776</v>
      </c>
      <c r="AZ11" s="67"/>
      <c r="BA11" s="67"/>
      <c r="BB11" s="67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'[7]Executive Orig'!C12+[7]Trading!C12+[7]Origination!C12+'[7]Mid Market'!C12+[7]Services!C12+[7]Fundamentals!C12</f>
        <v>658117.68</v>
      </c>
      <c r="E12" s="68" t="n">
        <f aca="false">((C12/9)*12)*1.2</f>
        <v>1052988.288</v>
      </c>
      <c r="F12" s="64"/>
      <c r="G12" s="64" t="n">
        <f aca="false">(+(100*12*8)+(500*12*4)+((10000/9)*4))*1.2</f>
        <v>45653.3333333333</v>
      </c>
      <c r="H12" s="64"/>
      <c r="I12" s="91" t="n">
        <f aca="false">+G12/$G$23</f>
        <v>0.0429658615420729</v>
      </c>
      <c r="K12" s="88"/>
      <c r="L12" s="26"/>
      <c r="M12" s="26"/>
      <c r="N12" s="89"/>
      <c r="O12" s="64" t="n">
        <f aca="false">+G12/$G$29*$O$29</f>
        <v>5706.66666666667</v>
      </c>
      <c r="AZ12" s="67"/>
      <c r="BA12" s="67"/>
      <c r="BB12" s="67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'[7]Executive Orig'!C13+[7]Trading!C13+[7]Origination!C13+'[7]Mid Market'!C13+[7]Services!C13+[7]Fundamentals!C13</f>
        <v>719773.8</v>
      </c>
      <c r="E13" s="68" t="n">
        <f aca="false">((C13/9)*12)*1.2</f>
        <v>1151638.08</v>
      </c>
      <c r="F13" s="64"/>
      <c r="G13" s="64" t="n">
        <f aca="false">(+(3*1100*4)+(2*1100*4)+(8*1100*4)+(5*1100*4)+(6*300*8))*1.2</f>
        <v>112320</v>
      </c>
      <c r="H13" s="64"/>
      <c r="I13" s="91" t="n">
        <f aca="false">+G13/$G$23</f>
        <v>0.105708065896735</v>
      </c>
      <c r="K13" s="93" t="s">
        <v>125</v>
      </c>
      <c r="L13" s="94"/>
      <c r="M13" s="94"/>
      <c r="N13" s="95" t="n">
        <f aca="false">N8+N11</f>
        <v>1051310.84224719</v>
      </c>
      <c r="O13" s="64" t="n">
        <f aca="false">+G13/$G$29*$O$29</f>
        <v>14040</v>
      </c>
      <c r="AZ13" s="67"/>
      <c r="BA13" s="67"/>
      <c r="BB13" s="67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'[7]Executive Orig'!C14+[7]Trading!C14+[7]Origination!C14+'[7]Mid Market'!C14+[7]Services!C14+[7]Fundamentals!C14-C32</f>
        <v>0.239999999757856</v>
      </c>
      <c r="E14" s="68" t="n">
        <f aca="false">((C14/9)*12)*1.2</f>
        <v>0.38399999961257</v>
      </c>
      <c r="F14" s="64"/>
      <c r="G14" s="64" t="n">
        <f aca="false">(+E14/$E$29*$M$11)*1.2</f>
        <v>0.0414202246773109</v>
      </c>
      <c r="H14" s="64"/>
      <c r="I14" s="91" t="n">
        <f aca="false">+G14/$G$23</f>
        <v>3.89819430167981E-008</v>
      </c>
      <c r="O14" s="64" t="n">
        <f aca="false">+G14/$G$29*$O$29</f>
        <v>0.00517752808466386</v>
      </c>
      <c r="AZ14" s="67"/>
      <c r="BA14" s="67"/>
      <c r="BB14" s="67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'[7]Executive Orig'!C15+[7]Trading!C15+[7]Origination!C15+'[7]Mid Market'!C15+[7]Services!C15+[7]Fundamentals!C15</f>
        <v>128890.14</v>
      </c>
      <c r="E15" s="68" t="n">
        <f aca="false">((C15/9)*12)*1.2</f>
        <v>206224.224</v>
      </c>
      <c r="F15" s="64"/>
      <c r="G15" s="64" t="n">
        <v>27648</v>
      </c>
      <c r="H15" s="64"/>
      <c r="I15" s="91" t="n">
        <f aca="false">+G15/$G$23</f>
        <v>0.0260204469899657</v>
      </c>
      <c r="O15" s="64" t="n">
        <f aca="false">+G15/$G$29*$O$29</f>
        <v>3456</v>
      </c>
      <c r="AZ15" s="67"/>
      <c r="BA15" s="67"/>
      <c r="BB15" s="67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'[7]Executive Orig'!C16+[7]Trading!C16+[7]Origination!C16+'[7]Mid Market'!C16+[7]Services!C16+[7]Fundamentals!C16</f>
        <v>0</v>
      </c>
      <c r="E16" s="68" t="n">
        <f aca="false">((C16/9)*12)*1.2</f>
        <v>0</v>
      </c>
      <c r="F16" s="64"/>
      <c r="G16" s="64" t="n">
        <f aca="false">(+E16/$E$29*$M$11)*1.2</f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0</v>
      </c>
      <c r="AZ16" s="67"/>
      <c r="BA16" s="67"/>
      <c r="BB16" s="67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'[7]Executive Orig'!C17+[7]Trading!C17+[7]Origination!C17+'[7]Mid Market'!C17+[7]Services!C17+[7]Fundamentals!C17</f>
        <v>11300</v>
      </c>
      <c r="E17" s="68" t="n">
        <f aca="false">((C17/9)*12)*1.2</f>
        <v>18080</v>
      </c>
      <c r="F17" s="64"/>
      <c r="G17" s="64" t="n">
        <v>0</v>
      </c>
      <c r="H17" s="64"/>
      <c r="I17" s="91" t="n">
        <f aca="false">+G17/$G$23</f>
        <v>0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0</v>
      </c>
      <c r="AZ17" s="67"/>
      <c r="BA17" s="67"/>
      <c r="BB17" s="67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'[7]Executive Orig'!C18+[7]Trading!C18+[7]Origination!C18+'[7]Mid Market'!C18+[7]Services!C18+[7]Fundamentals!C18</f>
        <v>327447.74</v>
      </c>
      <c r="E18" s="68" t="n">
        <f aca="false">((C18/9)*12)*1.2</f>
        <v>523916.384</v>
      </c>
      <c r="F18" s="64"/>
      <c r="G18" s="64" t="n">
        <f aca="false">(+(75*12*8))*1.2</f>
        <v>8640</v>
      </c>
      <c r="H18" s="64"/>
      <c r="I18" s="91" t="n">
        <f aca="false">+G18/$G$23</f>
        <v>0.00813138968436427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1080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'[7]Executive Orig'!C19+[7]Trading!C19+[7]Origination!C19+'[7]Mid Market'!C19+[7]Services!C19+[7]Fundamentals!C19</f>
        <v>155845.37</v>
      </c>
      <c r="E19" s="68" t="n">
        <f aca="false">((C19/9)*12)*1.2</f>
        <v>249352.592</v>
      </c>
      <c r="F19" s="64"/>
      <c r="G19" s="64" t="n">
        <f aca="false">((82000/15*4)+(22000/9*4))*1.2</f>
        <v>37973.3333333333</v>
      </c>
      <c r="H19" s="64"/>
      <c r="I19" s="91" t="n">
        <f aca="false">+G19/$G$23</f>
        <v>0.0357379596004158</v>
      </c>
      <c r="K19" s="0" t="s">
        <v>141</v>
      </c>
      <c r="L19" s="49" t="n">
        <v>63000</v>
      </c>
      <c r="M19" s="0" t="n">
        <v>0</v>
      </c>
      <c r="N19" s="49" t="n">
        <f aca="false">L19*M19</f>
        <v>0</v>
      </c>
      <c r="O19" s="64" t="n">
        <f aca="false">+G19/$G$29*$O$29</f>
        <v>4746.66666666667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'[7]Executive Orig'!C20+[7]Trading!C20+[7]Origination!C20+'[7]Mid Market'!C20+[7]Services!C20+[7]Fundamentals!C20</f>
        <v>116.15</v>
      </c>
      <c r="E20" s="68" t="n">
        <f aca="false">((C20/9)*12)*1.2</f>
        <v>185.84</v>
      </c>
      <c r="F20" s="64"/>
      <c r="G20" s="64" t="n">
        <v>0</v>
      </c>
      <c r="H20" s="64"/>
      <c r="I20" s="91" t="n">
        <f aca="false">+G20/$G$23</f>
        <v>0</v>
      </c>
      <c r="K20" s="0" t="s">
        <v>144</v>
      </c>
      <c r="L20" s="49" t="n">
        <v>78000</v>
      </c>
      <c r="M20" s="0" t="n">
        <v>0</v>
      </c>
      <c r="N20" s="49" t="n">
        <f aca="false">L20*M20</f>
        <v>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'[7]Executive Orig'!C21+[7]Trading!C21+[7]Origination!C21+'[7]Mid Market'!C21+[7]Services!C21+[7]Fundamentals!C21</f>
        <v>566869.93</v>
      </c>
      <c r="E21" s="68" t="n">
        <f aca="false">((C21/9)*12)*1.2</f>
        <v>906991.888</v>
      </c>
      <c r="F21" s="64"/>
      <c r="G21" s="64" t="n">
        <v>12000</v>
      </c>
      <c r="H21" s="64"/>
      <c r="I21" s="91" t="n">
        <f aca="false">+G21/$G$23</f>
        <v>0.0112935967838393</v>
      </c>
      <c r="K21" s="0" t="s">
        <v>147</v>
      </c>
      <c r="L21" s="49" t="n">
        <v>66000</v>
      </c>
      <c r="M21" s="0" t="n">
        <f aca="false">7</f>
        <v>7</v>
      </c>
      <c r="N21" s="49" t="n">
        <f aca="false">L21*M21</f>
        <v>462000</v>
      </c>
      <c r="O21" s="64" t="n">
        <f aca="false">+G21/$G$29*$O$29</f>
        <v>1500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'[7]Executive Orig'!C22+[7]Trading!C22+[7]Origination!C22+'[7]Mid Market'!C22+[7]Services!C22+[7]Fundamentals!C22</f>
        <v>75709.65</v>
      </c>
      <c r="E22" s="68" t="n">
        <f aca="false">((C22/9)*12)*1.2</f>
        <v>121135.44</v>
      </c>
      <c r="F22" s="64"/>
      <c r="G22" s="64" t="n">
        <f aca="false">(+E22/$E$29*$M$11)*1.2</f>
        <v>13066.2946516854</v>
      </c>
      <c r="H22" s="64"/>
      <c r="I22" s="91" t="n">
        <f aca="false">+G22/$G$23</f>
        <v>0.0122971219379142</v>
      </c>
      <c r="K22" s="0" t="s">
        <v>150</v>
      </c>
      <c r="L22" s="49" t="n">
        <v>97200</v>
      </c>
      <c r="M22" s="0" t="n">
        <f aca="false">1</f>
        <v>1</v>
      </c>
      <c r="N22" s="49" t="n">
        <f aca="false">L22*M22</f>
        <v>97200</v>
      </c>
      <c r="O22" s="64" t="n">
        <f aca="false">+G22/$G$29*$O$29</f>
        <v>1633.28683146067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1062549.00273858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0</v>
      </c>
      <c r="N23" s="49" t="n">
        <f aca="false">L23*M23</f>
        <v>0</v>
      </c>
      <c r="O23" s="74" t="n">
        <f aca="false">SUM(O8:O22)</f>
        <v>132818.625342322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v>0</v>
      </c>
      <c r="N24" s="49" t="n">
        <f aca="false">L24*M24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'[7]Executive Orig'!E25+[7]Trading!E25+[7]Origination!E25+'[7]Mid Market'!E25+[7]Services!E25+[7]Fundamentals!E25</f>
        <v>74</v>
      </c>
      <c r="F25" s="64"/>
      <c r="G25" s="77" t="n">
        <f aca="false">SUM(M16:M20,M23:M27)</f>
        <v>0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0</v>
      </c>
      <c r="N26" s="49" t="n">
        <f aca="false">L26*M26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'[7]Executive Orig'!E27+[7]Trading!E27+[7]Origination!E27+'[7]Mid Market'!E27+[7]Services!E27+[7]Fundamentals!E27</f>
        <v>15</v>
      </c>
      <c r="F27" s="64"/>
      <c r="G27" s="77" t="n">
        <f aca="false">+M21+M22</f>
        <v>8</v>
      </c>
      <c r="H27" s="64"/>
      <c r="K27" s="0" t="s">
        <v>158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49" t="n">
        <f aca="false">SUM(N16:N27)*1.2</f>
        <v>671040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f aca="false">+G27+G25</f>
        <v>8</v>
      </c>
      <c r="H29" s="64"/>
      <c r="I29" s="49"/>
      <c r="O29" s="77" t="n"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8</v>
      </c>
      <c r="N34" s="80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R144" activeCellId="0" sqref="R1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50" t="str">
        <f aca="false">'[8]Team Report'!B1</f>
        <v>Enron North America</v>
      </c>
      <c r="C1" s="50"/>
      <c r="D1" s="50"/>
      <c r="E1" s="50"/>
      <c r="F1" s="50"/>
      <c r="G1" s="50"/>
      <c r="H1" s="52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239</v>
      </c>
      <c r="C2" s="50"/>
      <c r="D2" s="50"/>
      <c r="E2" s="50"/>
      <c r="F2" s="50"/>
      <c r="G2" s="50"/>
      <c r="H2" s="52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H4" s="85"/>
      <c r="I4" s="56"/>
      <c r="J4" s="86"/>
      <c r="K4" s="87"/>
    </row>
    <row r="5" customFormat="false" ht="12.75" hidden="false" customHeight="false" outlineLevel="0" collapsed="false">
      <c r="H5" s="88"/>
      <c r="I5" s="49" t="s">
        <v>105</v>
      </c>
      <c r="J5" s="26" t="s">
        <v>106</v>
      </c>
      <c r="K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110</v>
      </c>
      <c r="G6" s="60" t="s">
        <v>110</v>
      </c>
      <c r="H6" s="88"/>
      <c r="J6" s="26"/>
      <c r="K6" s="89"/>
      <c r="O6" s="100" t="n">
        <v>2002</v>
      </c>
      <c r="AK6" s="10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H7" s="88"/>
      <c r="J7" s="26"/>
      <c r="K7" s="89"/>
      <c r="O7" s="61" t="s">
        <v>114</v>
      </c>
      <c r="AK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+'[9]Natural Gas'!C8+[9]Ontario!C8+[9]Finance!C8+[9]Executive!C8+[9]Alberta!C8</f>
        <v>2855922.03</v>
      </c>
      <c r="E8" s="64" t="n">
        <f aca="false">+'[9]Natural Gas'!E8+[9]Ontario!E8+[9]Finance!E8+[9]Executive!E8+[9]Alberta!E8</f>
        <v>3807896.04</v>
      </c>
      <c r="G8" s="64" t="n">
        <v>0</v>
      </c>
      <c r="H8" s="88" t="s">
        <v>116</v>
      </c>
      <c r="I8" s="49" t="n">
        <v>0</v>
      </c>
      <c r="J8" s="26"/>
      <c r="K8" s="92" t="n">
        <f aca="false">K28</f>
        <v>946080</v>
      </c>
      <c r="O8" s="64" t="n">
        <f aca="false">+G8/$G$29*$O$29</f>
        <v>0</v>
      </c>
      <c r="AK8" s="64"/>
    </row>
    <row r="9" customFormat="false" ht="12.75" hidden="false" customHeight="false" outlineLevel="0" collapsed="false">
      <c r="A9" s="62"/>
      <c r="B9" s="63" t="s">
        <v>117</v>
      </c>
      <c r="C9" s="64" t="n">
        <f aca="false">+'[9]Natural Gas'!C9+[9]Ontario!C9+[9]Finance!C9+[9]Executive!C9+[9]Alberta!C9</f>
        <v>0</v>
      </c>
      <c r="E9" s="64" t="n">
        <f aca="false">+'[9]Natural Gas'!E9+[9]Ontario!E9+[9]Finance!E9+[9]Executive!E9+[9]Alberta!E9</f>
        <v>0</v>
      </c>
      <c r="G9" s="64" t="n">
        <v>0</v>
      </c>
      <c r="H9" s="88"/>
      <c r="J9" s="26"/>
      <c r="K9" s="89"/>
      <c r="O9" s="64" t="n">
        <f aca="false">+G9/$G$29*$O$29</f>
        <v>0</v>
      </c>
      <c r="AK9" s="64"/>
    </row>
    <row r="10" customFormat="false" ht="12.75" hidden="false" customHeight="false" outlineLevel="0" collapsed="false">
      <c r="A10" s="62"/>
      <c r="B10" s="63" t="s">
        <v>211</v>
      </c>
      <c r="C10" s="64" t="n">
        <v>0</v>
      </c>
      <c r="E10" s="64" t="n">
        <v>0</v>
      </c>
      <c r="G10" s="64" t="n">
        <f aca="false">(K22+K21-188400)*1.2</f>
        <v>720000</v>
      </c>
      <c r="H10" s="88"/>
      <c r="J10" s="26"/>
      <c r="K10" s="89"/>
      <c r="O10" s="64" t="n">
        <f aca="false">+G10/$G$29*$O$29</f>
        <v>65454.5454545455</v>
      </c>
      <c r="AK10" s="110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+'[9]Natural Gas'!C11+[9]Ontario!C11+[9]Finance!C11+[9]Executive!C10+[9]Alberta!C11</f>
        <v>312682.37</v>
      </c>
      <c r="E11" s="64" t="n">
        <f aca="false">+'[9]Natural Gas'!E11+[9]Ontario!E11+[9]Finance!E11+[9]Executive!E10+[9]Alberta!E11</f>
        <v>416909.826666667</v>
      </c>
      <c r="G11" s="64" t="n">
        <f aca="false">(G10*0.3105-96300)*1.2</f>
        <v>152712</v>
      </c>
      <c r="H11" s="88" t="s">
        <v>78</v>
      </c>
      <c r="I11" s="80" t="n">
        <f aca="false">(E12+E13+E14+E15+E16+E17+E18+E19+E20+E21+E22)/E29</f>
        <v>31253.50784</v>
      </c>
      <c r="J11" s="26" t="n">
        <f aca="false">J28</f>
        <v>11</v>
      </c>
      <c r="K11" s="92" t="n">
        <f aca="false">I11*J11</f>
        <v>343788.58624</v>
      </c>
      <c r="O11" s="64" t="n">
        <f aca="false">+G11/$G$29*$O$29</f>
        <v>13882.9090909091</v>
      </c>
      <c r="AK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+'[9]Natural Gas'!C12+[9]Ontario!C12+[9]Finance!C12+[9]Executive!C12+[9]Alberta!C12</f>
        <v>67320.13</v>
      </c>
      <c r="E12" s="68" t="n">
        <f aca="false">(+'[9]Natural Gas'!E12+[9]Ontario!E12+[9]Finance!E12+[9]Executive!E12+[9]Alberta!E12)*1.2</f>
        <v>107712.208</v>
      </c>
      <c r="G12" s="64" t="n">
        <f aca="false">((E12/$E$29)*$G$29)*1.2</f>
        <v>28436.022912</v>
      </c>
      <c r="H12" s="88"/>
      <c r="J12" s="26"/>
      <c r="K12" s="89"/>
      <c r="O12" s="64" t="n">
        <f aca="false">+G12/$G$29*$O$29</f>
        <v>2585.092992</v>
      </c>
      <c r="AK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+'[9]Natural Gas'!C13+[9]Ontario!C13+[9]Finance!C13+[9]Executive!C13+[9]Alberta!C13</f>
        <v>297871.84</v>
      </c>
      <c r="E13" s="68" t="n">
        <f aca="false">(+'[9]Natural Gas'!E13+[9]Ontario!E13+[9]Finance!E13+[9]Executive!E13+[9]Alberta!E13)*1.2</f>
        <v>476594.944</v>
      </c>
      <c r="G13" s="64" t="n">
        <f aca="false">((E13/$E$29)*$G$29)*1.2</f>
        <v>125821.065216</v>
      </c>
      <c r="H13" s="93" t="s">
        <v>125</v>
      </c>
      <c r="I13" s="70"/>
      <c r="J13" s="94"/>
      <c r="K13" s="95" t="n">
        <f aca="false">K8+K11</f>
        <v>1289868.58624</v>
      </c>
      <c r="O13" s="64" t="n">
        <f aca="false">+G13/$G$29*$O$29</f>
        <v>11438.278656</v>
      </c>
      <c r="AK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+'[9]Natural Gas'!C14+[9]Ontario!C14+[9]Finance!C14+[9]Executive!C14+[9]Alberta!C14</f>
        <v>505739.98</v>
      </c>
      <c r="E14" s="68" t="n">
        <f aca="false">(+'[9]Natural Gas'!E14+[9]Ontario!E14+[9]Finance!E14+[9]Executive!E14+[9]Alberta!E14)*1.2</f>
        <v>809183.968</v>
      </c>
      <c r="G14" s="64" t="n">
        <f aca="false">((E14/$E$29)*$G$29)*1.2</f>
        <v>213624.567552</v>
      </c>
      <c r="O14" s="64" t="n">
        <f aca="false">+G14/$G$29*$O$29</f>
        <v>19420.415232</v>
      </c>
      <c r="AK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+'[9]Natural Gas'!C15+[9]Ontario!C15+[9]Finance!C15+[9]Executive!C15+[9]Alberta!C15</f>
        <v>6427.42</v>
      </c>
      <c r="E15" s="68" t="n">
        <f aca="false">(+'[9]Natural Gas'!E15+[9]Ontario!E15+[9]Finance!E15+[9]Executive!E15+[9]Alberta!E15)*1.2</f>
        <v>10283.872</v>
      </c>
      <c r="G15" s="64" t="n">
        <f aca="false">((E15/$E$29)*$G$29)*1.2</f>
        <v>2714.942208</v>
      </c>
      <c r="O15" s="64" t="n">
        <f aca="false">+G15/$G$29*$O$29</f>
        <v>246.812928</v>
      </c>
      <c r="AK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+'[9]Natural Gas'!C16+[9]Ontario!C16+[9]Finance!C16+[9]Executive!C16+[9]Alberta!C16</f>
        <v>0</v>
      </c>
      <c r="E16" s="68" t="n">
        <f aca="false">(+'[9]Natural Gas'!E16+[9]Ontario!E16+[9]Finance!E16+[9]Executive!E16+[9]Alberta!E16)*1.2</f>
        <v>0</v>
      </c>
      <c r="G16" s="64" t="n">
        <f aca="false">((E16/$E$29)*$G$29)*1.2</f>
        <v>0</v>
      </c>
      <c r="H16" s="0" t="s">
        <v>197</v>
      </c>
      <c r="I16" s="49" t="n">
        <v>33600</v>
      </c>
      <c r="J16" s="0" t="n">
        <v>0</v>
      </c>
      <c r="K16" s="0" t="n">
        <f aca="false">I16*J16</f>
        <v>0</v>
      </c>
      <c r="O16" s="64" t="n">
        <f aca="false">+G16/$G$29*$O$29</f>
        <v>0</v>
      </c>
      <c r="AK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+'[9]Natural Gas'!C17+[9]Ontario!C17+[9]Finance!C17+[9]Executive!C17+[9]Alberta!C17</f>
        <v>1883.62</v>
      </c>
      <c r="E17" s="68" t="n">
        <f aca="false">(+'[9]Natural Gas'!E17+[9]Ontario!E17+[9]Finance!E17+[9]Executive!E17+[9]Alberta!E17)*1.2</f>
        <v>3013.792</v>
      </c>
      <c r="G17" s="64" t="n">
        <f aca="false">((E17/$E$29)*$G$29)*1.2</f>
        <v>795.641088</v>
      </c>
      <c r="H17" s="0" t="s">
        <v>135</v>
      </c>
      <c r="I17" s="49" t="n">
        <v>52800</v>
      </c>
      <c r="J17" s="0" t="n">
        <v>0</v>
      </c>
      <c r="K17" s="0" t="n">
        <f aca="false">I17*J17</f>
        <v>0</v>
      </c>
      <c r="O17" s="64" t="n">
        <f aca="false">+G17/$G$29*$O$29</f>
        <v>72.331008</v>
      </c>
      <c r="AK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+'[9]Natural Gas'!C18+[9]Ontario!C18+[9]Finance!C18+[9]Executive!C18+[9]Alberta!C18</f>
        <v>19208.42</v>
      </c>
      <c r="E18" s="68" t="n">
        <f aca="false">(+'[9]Natural Gas'!E18+[9]Ontario!E18+[9]Finance!E18+[9]Executive!E18+[9]Alberta!E18)*1.2</f>
        <v>30733.472</v>
      </c>
      <c r="G18" s="64" t="n">
        <f aca="false">((E18/$E$29)*$G$29)*1.2</f>
        <v>8113.636608</v>
      </c>
      <c r="H18" s="0" t="s">
        <v>138</v>
      </c>
      <c r="I18" s="49" t="n">
        <v>54000</v>
      </c>
      <c r="J18" s="0" t="n">
        <v>0</v>
      </c>
      <c r="K18" s="0" t="n">
        <f aca="false">I18*J18</f>
        <v>0</v>
      </c>
      <c r="O18" s="64" t="n">
        <f aca="false">+G18/$G$29*$O$29</f>
        <v>737.603328</v>
      </c>
      <c r="AK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+'[9]Natural Gas'!C19+[9]Ontario!C19+[9]Finance!C19+[9]Executive!C19+[9]Alberta!C19</f>
        <v>52344.84</v>
      </c>
      <c r="E19" s="68" t="n">
        <f aca="false">(+'[9]Natural Gas'!E19+[9]Ontario!E19+[9]Finance!E19+[9]Executive!E19+[9]Alberta!E19)*1.2</f>
        <v>83751.744</v>
      </c>
      <c r="G19" s="64" t="n">
        <f aca="false">((E19/$E$29)*$G$29)*1.2</f>
        <v>22110.460416</v>
      </c>
      <c r="H19" s="0" t="s">
        <v>141</v>
      </c>
      <c r="I19" s="49" t="n">
        <v>63000</v>
      </c>
      <c r="J19" s="0" t="n">
        <v>0</v>
      </c>
      <c r="K19" s="0" t="n">
        <f aca="false">I19*J19</f>
        <v>0</v>
      </c>
      <c r="O19" s="64" t="n">
        <f aca="false">+G19/$G$29*$O$29</f>
        <v>2010.041856</v>
      </c>
      <c r="AK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+'[9]Natural Gas'!C20+[9]Ontario!C20+[9]Finance!C20+[9]Executive!C20+[9]Alberta!C20</f>
        <v>0</v>
      </c>
      <c r="E20" s="68" t="n">
        <f aca="false">(+'[9]Natural Gas'!E20+[9]Ontario!E20+[9]Finance!E20+[9]Executive!E20+[9]Alberta!E20)*1.2</f>
        <v>0</v>
      </c>
      <c r="G20" s="64" t="n">
        <f aca="false">((E20/$E$29)*$G$29)*1.2</f>
        <v>0</v>
      </c>
      <c r="H20" s="0" t="s">
        <v>144</v>
      </c>
      <c r="I20" s="49" t="n">
        <v>78000</v>
      </c>
      <c r="J20" s="0" t="n">
        <v>0</v>
      </c>
      <c r="K20" s="0" t="n">
        <f aca="false">I20*J20</f>
        <v>0</v>
      </c>
      <c r="O20" s="64" t="n">
        <f aca="false">+G20/$G$29*$O$29</f>
        <v>0</v>
      </c>
      <c r="AK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+'[9]Natural Gas'!C21+[9]Ontario!C21+[9]Finance!C21+[9]Executive!C21+[9]Alberta!C21</f>
        <v>19769.17</v>
      </c>
      <c r="E21" s="68" t="n">
        <f aca="false">(+'[9]Natural Gas'!E21+[9]Ontario!E21+[9]Finance!E21+[9]Executive!E21+[9]Alberta!E21)*1.2</f>
        <v>31630.6720000001</v>
      </c>
      <c r="G21" s="64" t="n">
        <f aca="false">((E21/$E$29)*$G$29)*1.2</f>
        <v>8350.49740800002</v>
      </c>
      <c r="H21" s="0" t="s">
        <v>147</v>
      </c>
      <c r="I21" s="49" t="n">
        <v>66000</v>
      </c>
      <c r="J21" s="0" t="n">
        <f aca="false">3+5+1</f>
        <v>9</v>
      </c>
      <c r="K21" s="0" t="n">
        <f aca="false">I21*J21</f>
        <v>594000</v>
      </c>
      <c r="O21" s="64" t="n">
        <f aca="false">+G21/$G$29*$O$29</f>
        <v>759.136128000002</v>
      </c>
      <c r="AK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+'[9]Natural Gas'!C22+[9]Ontario!C22+[9]Finance!C22+[9]Executive!C22+[9]Alberta!C22</f>
        <v>6106.70000000001</v>
      </c>
      <c r="E22" s="68" t="n">
        <f aca="false">(+'[9]Natural Gas'!E22+[9]Ontario!E22+[9]Finance!E22+[9]Executive!E22+[9]Alberta!E22)*1.2</f>
        <v>9770.72000000001</v>
      </c>
      <c r="G22" s="64" t="n">
        <f aca="false">((E22/$E$29)*$G$29)*1.2</f>
        <v>2579.47008</v>
      </c>
      <c r="H22" s="0" t="s">
        <v>150</v>
      </c>
      <c r="I22" s="49" t="n">
        <v>97200</v>
      </c>
      <c r="J22" s="0" t="n">
        <v>2</v>
      </c>
      <c r="K22" s="0" t="n">
        <f aca="false">I22*J22</f>
        <v>194400</v>
      </c>
      <c r="O22" s="64" t="n">
        <f aca="false">+G22/$G$29*$O$29</f>
        <v>234.49728</v>
      </c>
      <c r="AK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1285258.303488</v>
      </c>
      <c r="H23" s="0" t="s">
        <v>153</v>
      </c>
      <c r="I23" s="49" t="n">
        <v>120000</v>
      </c>
      <c r="J23" s="0" t="n">
        <v>0</v>
      </c>
      <c r="K23" s="0" t="n">
        <f aca="false">I23*J23</f>
        <v>0</v>
      </c>
      <c r="O23" s="74" t="n">
        <f aca="false">SUM(O8:O22)</f>
        <v>116841.663953455</v>
      </c>
      <c r="AK23" s="76"/>
    </row>
    <row r="24" customFormat="false" ht="12.75" hidden="false" customHeight="false" outlineLevel="0" collapsed="false">
      <c r="H24" s="0" t="s">
        <v>154</v>
      </c>
      <c r="I24" s="49" t="n">
        <v>156000</v>
      </c>
      <c r="J24" s="0" t="n">
        <v>0</v>
      </c>
      <c r="K24" s="0" t="n">
        <f aca="false">I24*J24</f>
        <v>0</v>
      </c>
      <c r="AK24" s="26"/>
    </row>
    <row r="25" customFormat="false" ht="12.75" hidden="false" customHeight="false" outlineLevel="0" collapsed="false">
      <c r="B25" s="73" t="s">
        <v>7</v>
      </c>
      <c r="C25" s="3"/>
      <c r="E25" s="101" t="n">
        <f aca="false">+'[9]Natural Gas'!E25+[9]Ontario!E25+[9]Finance!E25+[9]Executive!E25+[9]Alberta!E25</f>
        <v>30</v>
      </c>
      <c r="G25" s="101" t="n">
        <f aca="false">SUM(J16:J20,J23:J27)</f>
        <v>0</v>
      </c>
      <c r="H25" s="0" t="s">
        <v>155</v>
      </c>
      <c r="I25" s="49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4"/>
    </row>
    <row r="26" customFormat="false" ht="12.75" hidden="false" customHeight="false" outlineLevel="0" collapsed="false">
      <c r="C26" s="64"/>
      <c r="E26" s="63"/>
      <c r="G26" s="63"/>
      <c r="H26" s="0" t="s">
        <v>156</v>
      </c>
      <c r="I26" s="49" t="n">
        <v>216000</v>
      </c>
      <c r="J26" s="0" t="n">
        <v>0</v>
      </c>
      <c r="K26" s="0" t="n">
        <f aca="false">I26*J26</f>
        <v>0</v>
      </c>
      <c r="O26" s="64"/>
      <c r="AK26" s="64"/>
    </row>
    <row r="27" customFormat="false" ht="12.75" hidden="false" customHeight="false" outlineLevel="0" collapsed="false">
      <c r="B27" s="73" t="s">
        <v>198</v>
      </c>
      <c r="C27" s="64"/>
      <c r="E27" s="101" t="n">
        <f aca="false">+'[9]Natural Gas'!E27+[9]Ontario!E27+[9]Finance!E27+[9]Executive!E27+[9]Alberta!E27</f>
        <v>20</v>
      </c>
      <c r="G27" s="101" t="n">
        <f aca="false">SUM(J21:J22)</f>
        <v>11</v>
      </c>
      <c r="H27" s="0" t="s">
        <v>212</v>
      </c>
      <c r="I27" s="49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50</v>
      </c>
      <c r="F29" s="64"/>
      <c r="G29" s="77" t="n">
        <f aca="false">+G27+G25</f>
        <v>11</v>
      </c>
      <c r="H29" s="66"/>
      <c r="O29" s="77" t="n">
        <v>1</v>
      </c>
      <c r="AK29" s="64"/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214</v>
      </c>
      <c r="C31" s="64"/>
      <c r="E31" s="64"/>
      <c r="G31" s="16" t="s">
        <v>160</v>
      </c>
      <c r="H31" s="49"/>
      <c r="J31" s="49"/>
    </row>
    <row r="32" customFormat="false" ht="12.75" hidden="true" customHeight="false" outlineLevel="0" collapsed="false">
      <c r="A32" s="62" t="s">
        <v>215</v>
      </c>
      <c r="B32" s="63"/>
      <c r="C32" s="64"/>
      <c r="E32" s="64"/>
      <c r="H32" s="49"/>
      <c r="J32" s="49"/>
    </row>
    <row r="33" customFormat="false" ht="12.75" hidden="true" customHeight="false" outlineLevel="0" collapsed="false">
      <c r="A33" s="62" t="s">
        <v>216</v>
      </c>
      <c r="B33" s="63"/>
      <c r="C33" s="64"/>
      <c r="E33" s="64"/>
      <c r="G33" s="79" t="s">
        <v>161</v>
      </c>
      <c r="H33" s="80" t="s">
        <v>162</v>
      </c>
      <c r="I33" s="80" t="s">
        <v>163</v>
      </c>
      <c r="J33" s="80" t="s">
        <v>106</v>
      </c>
      <c r="K33" s="80" t="s">
        <v>164</v>
      </c>
    </row>
    <row r="34" customFormat="false" ht="12.75" hidden="true" customHeight="false" outlineLevel="0" collapsed="false">
      <c r="A34" s="62" t="s">
        <v>217</v>
      </c>
      <c r="B34" s="63"/>
      <c r="C34" s="64"/>
      <c r="E34" s="64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11</v>
      </c>
      <c r="K34" s="80" t="n">
        <f aca="false">+I34*J34</f>
        <v>343788.58624</v>
      </c>
    </row>
    <row r="35" customFormat="false" ht="12.75" hidden="true" customHeight="false" outlineLevel="0" collapsed="false">
      <c r="A35" s="62" t="s">
        <v>218</v>
      </c>
      <c r="B35" s="63"/>
      <c r="C35" s="64"/>
      <c r="E35" s="64"/>
    </row>
    <row r="36" customFormat="false" ht="12.75" hidden="true" customHeight="false" outlineLevel="0" collapsed="false">
      <c r="A36" s="62" t="s">
        <v>219</v>
      </c>
      <c r="B36" s="63"/>
      <c r="C36" s="64"/>
      <c r="E36" s="64"/>
    </row>
    <row r="37" customFormat="false" ht="12.75" hidden="true" customHeight="false" outlineLevel="0" collapsed="false">
      <c r="A37" s="62" t="s">
        <v>220</v>
      </c>
      <c r="B37" s="63"/>
      <c r="C37" s="64"/>
      <c r="E37" s="64"/>
    </row>
    <row r="38" customFormat="false" ht="12.75" hidden="true" customHeight="false" outlineLevel="0" collapsed="false">
      <c r="A38" s="62" t="s">
        <v>221</v>
      </c>
      <c r="B38" s="63"/>
      <c r="C38" s="64"/>
      <c r="E38" s="64"/>
    </row>
    <row r="39" customFormat="false" ht="12.75" hidden="true" customHeight="false" outlineLevel="0" collapsed="false">
      <c r="B39" s="63"/>
      <c r="C39" s="64"/>
      <c r="E39" s="64"/>
    </row>
    <row r="40" customFormat="false" ht="12.75" hidden="true" customHeight="false" outlineLevel="0" collapsed="false">
      <c r="B40" s="63"/>
      <c r="C40" s="64"/>
      <c r="E40" s="64"/>
    </row>
    <row r="41" customFormat="false" ht="12.75" hidden="true" customHeight="false" outlineLevel="0" collapsed="false">
      <c r="B41" s="63"/>
      <c r="C41" s="64"/>
      <c r="E41" s="6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5" min="14" style="0" width="9.14"/>
  </cols>
  <sheetData>
    <row r="1" customFormat="false" ht="18" hidden="false" customHeight="false" outlineLevel="0" collapsed="false">
      <c r="B1" s="50" t="str">
        <f aca="false">'[10]Team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240</v>
      </c>
      <c r="C2" s="50"/>
      <c r="D2" s="50"/>
      <c r="E2" s="50"/>
      <c r="F2" s="50"/>
      <c r="G2" s="52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4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 t="n">
        <v>2002</v>
      </c>
      <c r="J6" s="88"/>
      <c r="K6" s="80" t="s">
        <v>105</v>
      </c>
      <c r="L6" s="80" t="s">
        <v>106</v>
      </c>
      <c r="M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224</v>
      </c>
      <c r="F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'[10]Team Report'!BA25</f>
        <v>888807.72</v>
      </c>
      <c r="E8" s="64" t="n">
        <f aca="false">(C8/9)*12</f>
        <v>1185076.96</v>
      </c>
      <c r="F8" s="64" t="n">
        <f aca="false">(+M21)*1.2</f>
        <v>237600</v>
      </c>
      <c r="J8" s="88"/>
      <c r="M8" s="59"/>
      <c r="O8" s="64" t="n">
        <f aca="false">+F8/$F$29*$O$29</f>
        <v>79200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v>0</v>
      </c>
      <c r="J9" s="88" t="s">
        <v>116</v>
      </c>
      <c r="K9" s="49" t="n">
        <v>0</v>
      </c>
      <c r="L9" s="49" t="n">
        <f aca="false">+L21</f>
        <v>3</v>
      </c>
      <c r="M9" s="59" t="n">
        <f aca="false">M21</f>
        <v>198000</v>
      </c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v>0</v>
      </c>
      <c r="J10" s="88"/>
      <c r="M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'[10]Team Report'!BA26</f>
        <v>249788.37</v>
      </c>
      <c r="E11" s="64" t="n">
        <f aca="false">(C11/9)*12</f>
        <v>333051.16</v>
      </c>
      <c r="F11" s="64" t="n">
        <f aca="false">(+F8*0.2)*1.2</f>
        <v>57024</v>
      </c>
      <c r="J11" s="88"/>
      <c r="M11" s="59"/>
      <c r="O11" s="64" t="n">
        <f aca="false">+F11/$F$29*$O$29</f>
        <v>19008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'[10]Team Report'!BA27</f>
        <v>180082.13</v>
      </c>
      <c r="E12" s="64" t="n">
        <f aca="false">(C12/9)*12</f>
        <v>240109.506666667</v>
      </c>
      <c r="F12" s="64" t="n">
        <f aca="false">(+E12/$E$29*$F$29*0.2)*1.2</f>
        <v>34575.76896</v>
      </c>
      <c r="J12" s="88" t="s">
        <v>78</v>
      </c>
      <c r="K12" s="49" t="n">
        <f aca="false">(E12+E13+E14+E15+E16+E17+E18+E19+E20+E21+E22)/E29</f>
        <v>123221.090666665</v>
      </c>
      <c r="L12" s="49" t="n">
        <f aca="false">+L21</f>
        <v>3</v>
      </c>
      <c r="M12" s="59" t="n">
        <f aca="false">K12*L12</f>
        <v>369663.271999994</v>
      </c>
      <c r="O12" s="64" t="n">
        <f aca="false">+F12/$F$29*$O$29</f>
        <v>11525.25632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'[10]Team Report'!BA28</f>
        <v>201416.5</v>
      </c>
      <c r="E13" s="64" t="n">
        <f aca="false">(C13/9)*12</f>
        <v>268555.333333333</v>
      </c>
      <c r="F13" s="64" t="n">
        <f aca="false">(+E13/$E$29*$F$29*0.2)*1.2</f>
        <v>38671.968</v>
      </c>
      <c r="J13" s="88"/>
      <c r="M13" s="59"/>
      <c r="O13" s="64" t="n">
        <f aca="false">+F13/$F$29*$O$29</f>
        <v>12890.656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F14" s="64" t="n">
        <f aca="false">(+E14/$E$29*$F$29)*1.2</f>
        <v>0</v>
      </c>
      <c r="J14" s="93" t="s">
        <v>125</v>
      </c>
      <c r="K14" s="70"/>
      <c r="L14" s="70"/>
      <c r="M14" s="71" t="n">
        <f aca="false">SUM(M9:M12)</f>
        <v>567663.271999994</v>
      </c>
      <c r="O14" s="64" t="n">
        <f aca="false">+F14/$F$29*$O$29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'[10]Team Report'!BA33</f>
        <v>10998.16</v>
      </c>
      <c r="E15" s="64" t="n">
        <f aca="false">(C15/9)*12</f>
        <v>14664.2133333333</v>
      </c>
      <c r="F15" s="64" t="n">
        <f aca="false">(+E15/$E$29*$F$29)*1.2</f>
        <v>10558.2336</v>
      </c>
      <c r="J15" s="26"/>
      <c r="O15" s="64" t="n">
        <f aca="false">+F15/$F$29*$O$29</f>
        <v>3519.4112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'[10]Team Report'!BA34</f>
        <v>0</v>
      </c>
      <c r="E16" s="64" t="n">
        <f aca="false">(C16/9)*12</f>
        <v>0</v>
      </c>
      <c r="F16" s="64" t="n">
        <f aca="false">(+E16/$E$29*$F$29)*1.2</f>
        <v>0</v>
      </c>
      <c r="J16" s="26"/>
      <c r="L16" s="10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'[10]Team Report'!BA35</f>
        <v>25000</v>
      </c>
      <c r="E17" s="64" t="n">
        <f aca="false">(C17/9)*12</f>
        <v>33333.3333333333</v>
      </c>
      <c r="F17" s="64" t="n">
        <v>0</v>
      </c>
      <c r="O17" s="64" t="n">
        <f aca="false">+F17/$F$29*$O$29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'[10]Team Report'!BA36</f>
        <v>2602.32</v>
      </c>
      <c r="E18" s="64" t="n">
        <f aca="false">(C18/9)*12</f>
        <v>3469.76</v>
      </c>
      <c r="F18" s="64" t="n">
        <f aca="false">(+E18/$E$29*$F$29)*1.2</f>
        <v>2498.2272</v>
      </c>
      <c r="J18" s="0" t="s">
        <v>135</v>
      </c>
      <c r="K18" s="49" t="n">
        <v>55000</v>
      </c>
      <c r="L18" s="49" t="n">
        <v>3</v>
      </c>
      <c r="M18" s="49" t="n">
        <f aca="false">K18*L18</f>
        <v>165000</v>
      </c>
      <c r="O18" s="64" t="n">
        <f aca="false">+F18/$F$29*$O$29</f>
        <v>832.7424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'[10]Team Report'!BA37</f>
        <v>40643.17</v>
      </c>
      <c r="E19" s="64" t="n">
        <f aca="false">(C19/9)*12</f>
        <v>54190.8933333333</v>
      </c>
      <c r="F19" s="64" t="n">
        <f aca="false">(+E19/$E$29*$F$29*0.5)*1.2</f>
        <v>19508.7216</v>
      </c>
      <c r="J19" s="0" t="s">
        <v>226</v>
      </c>
      <c r="K19" s="49" t="n">
        <v>250000</v>
      </c>
      <c r="L19" s="49" t="n">
        <v>0</v>
      </c>
      <c r="M19" s="49" t="n">
        <f aca="false">K19*L19</f>
        <v>0</v>
      </c>
      <c r="O19" s="64" t="n">
        <f aca="false">+F19/$F$29*$O$29</f>
        <v>6502.9072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'[10]Team Report'!BA38</f>
        <v>1258.2</v>
      </c>
      <c r="E20" s="64" t="n">
        <f aca="false">(C20/9)*12</f>
        <v>1677.6</v>
      </c>
      <c r="F20" s="64" t="n">
        <f aca="false">(+E20/$E$29*$F$29)*1.2</f>
        <v>1207.872</v>
      </c>
      <c r="J20" s="0" t="s">
        <v>212</v>
      </c>
      <c r="K20" s="49" t="n">
        <v>250000</v>
      </c>
      <c r="L20" s="49" t="n">
        <v>0</v>
      </c>
      <c r="M20" s="49" t="n">
        <f aca="false">K20*L20</f>
        <v>0</v>
      </c>
      <c r="O20" s="64" t="n">
        <f aca="false">+F20/$F$29*$O$29</f>
        <v>402.624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'[10]Team Report'!BA42-C40</f>
        <v>-0.180000007152557</v>
      </c>
      <c r="E21" s="64" t="n">
        <f aca="false">(C21/9)*12</f>
        <v>-0.240000009536743</v>
      </c>
      <c r="F21" s="64" t="n">
        <f aca="false">(+E21/$E$29*$F$29)*1.2</f>
        <v>-0.172800006866455</v>
      </c>
      <c r="L21" s="49" t="n">
        <f aca="false">SUM(L18:L20)</f>
        <v>3</v>
      </c>
      <c r="M21" s="49" t="n">
        <f aca="false">SUM(M18:M20)*1.2</f>
        <v>198000</v>
      </c>
      <c r="O21" s="64" t="n">
        <f aca="false">+F21/$F$29*$O$29</f>
        <v>-0.0576000022888184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'[10]Team Report'!BA44</f>
        <v>78.79</v>
      </c>
      <c r="E22" s="64" t="n">
        <f aca="false">(C22/9)*12</f>
        <v>105.053333333333</v>
      </c>
      <c r="F22" s="64" t="n">
        <f aca="false">(+E22/$E$29*$F$29)*1.2</f>
        <v>75.6384</v>
      </c>
      <c r="L22" s="78"/>
      <c r="M22" s="78"/>
      <c r="O22" s="64" t="n">
        <f aca="false">+F22/$F$29*$O$29</f>
        <v>25.2128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1600675.17999999</v>
      </c>
      <c r="E23" s="74" t="n">
        <f aca="false">SUM(E8:E22)</f>
        <v>2134233.57333332</v>
      </c>
      <c r="F23" s="74" t="n">
        <f aca="false">SUM(F8:F22)</f>
        <v>401720.256959993</v>
      </c>
      <c r="O23" s="96" t="n">
        <f aca="false">SUM(O8:O22)</f>
        <v>133906.752319998</v>
      </c>
    </row>
    <row r="25" customFormat="false" ht="12.75" hidden="false" customHeight="false" outlineLevel="0" collapsed="false">
      <c r="B25" s="73" t="s">
        <v>7</v>
      </c>
      <c r="C25" s="107"/>
      <c r="E25" s="107" t="n">
        <v>5</v>
      </c>
      <c r="F25" s="108" t="n">
        <f aca="false">SUM(L18:L20)</f>
        <v>3</v>
      </c>
      <c r="I25" s="16" t="s">
        <v>160</v>
      </c>
      <c r="J25" s="49"/>
      <c r="M25" s="0"/>
      <c r="O25" s="77" t="n">
        <f aca="false">SUM(U16:U20,U23:U27)</f>
        <v>0</v>
      </c>
    </row>
    <row r="26" customFormat="false" ht="12.75" hidden="false" customHeight="false" outlineLevel="0" collapsed="false">
      <c r="J26" s="49"/>
      <c r="M26" s="0"/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107"/>
      <c r="I27" s="79" t="s">
        <v>161</v>
      </c>
      <c r="J27" s="80" t="s">
        <v>162</v>
      </c>
      <c r="K27" s="80" t="s">
        <v>163</v>
      </c>
      <c r="L27" s="80" t="s">
        <v>106</v>
      </c>
      <c r="M27" s="80" t="s">
        <v>164</v>
      </c>
      <c r="O27" s="77" t="n">
        <f aca="false">SUM(U21:U22)</f>
        <v>0</v>
      </c>
    </row>
    <row r="28" customFormat="false" ht="12.75" hidden="false" customHeight="false" outlineLevel="0" collapsed="false">
      <c r="I28" s="81" t="n">
        <f aca="false">SUM(E12:E22)</f>
        <v>616105.453333324</v>
      </c>
      <c r="J28" s="109" t="n">
        <f aca="false">+E29</f>
        <v>5</v>
      </c>
      <c r="K28" s="80" t="n">
        <f aca="false">+I28/J28</f>
        <v>123221.090666665</v>
      </c>
      <c r="L28" s="80" t="n">
        <f aca="false">+L12</f>
        <v>3</v>
      </c>
      <c r="M28" s="80" t="n">
        <f aca="false">+K28*L28</f>
        <v>369663.271999994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5</v>
      </c>
      <c r="F29" s="107" t="n">
        <f aca="false">SUM(F25:F28)</f>
        <v>3</v>
      </c>
      <c r="K29" s="0"/>
      <c r="M29" s="0"/>
      <c r="O29" s="77" t="n">
        <v>1</v>
      </c>
    </row>
    <row r="30" customFormat="false" ht="12.75" hidden="false" customHeight="false" outlineLevel="0" collapsed="false">
      <c r="B30" s="73"/>
      <c r="K30" s="0"/>
      <c r="M30" s="0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'[10]Team Report'!BA29</f>
        <v>143473.75</v>
      </c>
      <c r="E31" s="64" t="n">
        <f aca="false">(C31/9)*12</f>
        <v>191298.333333333</v>
      </c>
      <c r="F31" s="64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'[10]Team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'[10]Team Report'!BA31</f>
        <v>0</v>
      </c>
      <c r="E33" s="64" t="n">
        <f aca="false">(C33/9)*12</f>
        <v>0</v>
      </c>
      <c r="F33" s="64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'[10]Team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'[10]Team Report'!BA40</f>
        <v>47150.06</v>
      </c>
      <c r="E35" s="64" t="n">
        <f aca="false">(C35/9)*12</f>
        <v>62866.7466666667</v>
      </c>
      <c r="F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'[10]Team Report'!BA41</f>
        <v>150417.01</v>
      </c>
      <c r="E36" s="64" t="n">
        <f aca="false">(C36/9)*12</f>
        <v>200556.013333333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'[10]Team Report'!BA43</f>
        <v>7417.54</v>
      </c>
      <c r="E37" s="64" t="n">
        <f aca="false">(C37/9)*12</f>
        <v>9890.05333333333</v>
      </c>
      <c r="F37" s="64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'[10]Team Report'!BA45</f>
        <v>11194108.38</v>
      </c>
      <c r="E38" s="64" t="n">
        <f aca="false">(C38/9)*12</f>
        <v>14925477.84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32191701.9066667</v>
      </c>
      <c r="F39" s="64"/>
    </row>
    <row r="40" customFormat="false" ht="12.75" hidden="true" customHeight="false" outlineLevel="0" collapsed="false">
      <c r="B40" s="63" t="s">
        <v>146</v>
      </c>
      <c r="C40" s="64" t="n">
        <v>243106037</v>
      </c>
      <c r="E40" s="64"/>
      <c r="F40" s="64"/>
      <c r="N40" s="49"/>
    </row>
    <row r="44" customFormat="false" ht="12.75" hidden="false" customHeight="false" outlineLevel="0" collapsed="false">
      <c r="C44" s="102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241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(L28-H10)*1.2</f>
        <v>836352</v>
      </c>
      <c r="I8" s="58" t="s">
        <v>116</v>
      </c>
      <c r="J8" s="49" t="n">
        <v>0</v>
      </c>
      <c r="L8" s="59" t="n">
        <f aca="false">L30</f>
        <v>836352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(L30-L28)*1.2</f>
        <v>167270.4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12</v>
      </c>
      <c r="L11" s="59" t="n">
        <f aca="false">J11*K11</f>
        <v>579242.175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28800</v>
      </c>
      <c r="I12" s="58"/>
      <c r="L12" s="59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18000</v>
      </c>
      <c r="I13" s="69" t="s">
        <v>125</v>
      </c>
      <c r="J13" s="70"/>
      <c r="K13" s="70"/>
      <c r="L13" s="71" t="n">
        <f aca="false">L8+L11</f>
        <v>1415594.175</v>
      </c>
      <c r="N13" s="49"/>
      <c r="P13" s="66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((E14/$E$29)*$K$11)*1.2</f>
        <v>0.0288000000023749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24000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0</v>
      </c>
      <c r="I17" s="49" t="s">
        <v>135</v>
      </c>
      <c r="J17" s="49" t="n">
        <v>48400</v>
      </c>
      <c r="K17" s="49" t="n">
        <f aca="false">12</f>
        <v>12</v>
      </c>
      <c r="L17" s="49" t="n">
        <f aca="false">J17*K17</f>
        <v>580800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12000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6000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((E22/$E$29)*$K$11-393210)*1.2</f>
        <v>-0.398399999784306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1092422.0304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0</v>
      </c>
      <c r="L24" s="49" t="n">
        <f aca="false">J24*K24</f>
        <v>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12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12</v>
      </c>
      <c r="L28" s="49" t="n">
        <f aca="false">SUM(L16:L27)*1.2</f>
        <v>696960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12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836352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12</v>
      </c>
      <c r="L34" s="80" t="n">
        <f aca="false">+J34*K34</f>
        <v>579242.175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242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(M16+M17+M18+M19+M20+M23+M24+M26)*1.2</f>
        <v>126720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126720</v>
      </c>
      <c r="O8" s="64" t="n">
        <f aca="false">+F8/$F$29*$O$29</f>
        <v>63360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 t="n">
        <v>0</v>
      </c>
      <c r="H9" s="91" t="n">
        <f aca="false">E9/$E$23</f>
        <v>0.0716886497316311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(M21+M22)*1.2</f>
        <v>0</v>
      </c>
      <c r="H10" s="91" t="n">
        <f aca="false">E10/$E$23</f>
        <v>0.173657406666346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(M28*0.2)*1.2</f>
        <v>25344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2</v>
      </c>
      <c r="M11" s="92" t="n">
        <f aca="false">K11*L11</f>
        <v>63352.3638014184</v>
      </c>
      <c r="O11" s="64" t="n">
        <f aca="false">+F11/$F$29*$O$29</f>
        <v>12672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(E12/$E$29*$L$11)*1.2</f>
        <v>15154.5790638298</v>
      </c>
      <c r="H12" s="91" t="n">
        <f aca="false">E12/$E$23</f>
        <v>0.0437168934810347</v>
      </c>
      <c r="J12" s="88"/>
      <c r="K12" s="26"/>
      <c r="L12" s="26"/>
      <c r="M12" s="89"/>
      <c r="O12" s="64" t="n">
        <f aca="false">+F12/$F$29*$O$29</f>
        <v>7577.28953191489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(E13/$E$29*$L$11)*1.2</f>
        <v>27625.2707404255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190072.363801418</v>
      </c>
      <c r="O13" s="64" t="n">
        <f aca="false">+F13/$F$29*$O$29</f>
        <v>13812.6353702128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(E14/$E$29*$L$11)*1.2</f>
        <v>0.01034893617351</v>
      </c>
      <c r="H14" s="91" t="n">
        <f aca="false">E14/$E$23</f>
        <v>2.98539034593965E-008</v>
      </c>
      <c r="N14" s="66"/>
      <c r="O14" s="64" t="n">
        <f aca="false">+F14/$F$29*$O$29</f>
        <v>0.00517446808675502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(E15/$E$29*$L$11)*1.2</f>
        <v>2538.95162553191</v>
      </c>
      <c r="H15" s="91" t="n">
        <f aca="false">E15/$E$23</f>
        <v>0.00732419404718382</v>
      </c>
      <c r="K15" s="49"/>
      <c r="O15" s="64" t="n">
        <f aca="false">+F15/$F$29*$O$29</f>
        <v>1269.47581276596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(E16/$E$29*$L$11)*1.2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v>0</v>
      </c>
      <c r="M16" s="49" t="n">
        <f aca="false">K16*L16</f>
        <v>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(E17/$E$29*$L$11)*1.2</f>
        <v>144.340425531915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v>2</v>
      </c>
      <c r="M17" s="49" t="n">
        <f aca="false">K17*L17</f>
        <v>105600</v>
      </c>
      <c r="O17" s="64" t="n">
        <f aca="false">+F17/$F$29*$O$29</f>
        <v>72.1702127659574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(E18/$E$29*$L$11)*1.2</f>
        <v>7.82406808510629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v>0</v>
      </c>
      <c r="M18" s="49" t="n">
        <f aca="false">K18*L18</f>
        <v>0</v>
      </c>
      <c r="O18" s="64" t="n">
        <f aca="false">+F18/$F$29*$O$29</f>
        <v>3.91203404255314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(E19/$E$29*$L$11)*1.2</f>
        <v>13267.0420425532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v>0</v>
      </c>
      <c r="M19" s="49" t="n">
        <f aca="false">K19*L19</f>
        <v>0</v>
      </c>
      <c r="O19" s="64" t="n">
        <f aca="false">+F19/$F$29*$O$29</f>
        <v>6633.5210212766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f aca="false">(E20/$E$29*$L$11)*1.2</f>
        <v>2.12915744680851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0</v>
      </c>
      <c r="M20" s="49" t="n">
        <f aca="false">K20*L20</f>
        <v>0</v>
      </c>
      <c r="O20" s="64" t="n">
        <f aca="false">+F20/$F$29*$O$29</f>
        <v>1.06457872340426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(E21/$E$29*$L$11)*1.2</f>
        <v>17250.2740425532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0</v>
      </c>
      <c r="M21" s="49" t="n">
        <f aca="false">K21*L21</f>
        <v>0</v>
      </c>
      <c r="O21" s="64" t="n">
        <f aca="false">+F21/$F$29*$O$29</f>
        <v>8625.13702127659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(E22/$E$29*$L$11)*1.2</f>
        <v>32.4150468085106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0</v>
      </c>
      <c r="M22" s="49" t="n">
        <f aca="false">K22*L22</f>
        <v>0</v>
      </c>
      <c r="O22" s="64" t="n">
        <f aca="false">+F22/$F$29*$O$29</f>
        <v>16.2075234042553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228086.836561702</v>
      </c>
      <c r="H23" s="97" t="n">
        <f aca="false">SUM(H8:H22)</f>
        <v>1</v>
      </c>
      <c r="J23" s="0" t="s">
        <v>153</v>
      </c>
      <c r="K23" s="49" t="n">
        <v>120000</v>
      </c>
      <c r="L23" s="0" t="n">
        <v>0</v>
      </c>
      <c r="M23" s="49" t="n">
        <f aca="false">K23*L23</f>
        <v>0</v>
      </c>
      <c r="O23" s="96" t="n">
        <f aca="false">SUM(O8:O22)</f>
        <v>114043.418280851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0</v>
      </c>
      <c r="M24" s="49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2</v>
      </c>
      <c r="J25" s="0" t="s">
        <v>155</v>
      </c>
      <c r="K25" s="49" t="n">
        <v>180000</v>
      </c>
      <c r="L25" s="0" t="n">
        <v>0</v>
      </c>
      <c r="M25" s="49" t="n">
        <f aca="false">K25*L25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v>0</v>
      </c>
      <c r="M26" s="49" t="n">
        <f aca="false">K26*L26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0</v>
      </c>
      <c r="J27" s="0" t="s">
        <v>158</v>
      </c>
      <c r="K27" s="49" t="n">
        <v>240000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B28" s="73"/>
      <c r="L28" s="0" t="n">
        <f aca="false">SUM(L16:L27)</f>
        <v>2</v>
      </c>
      <c r="M28" s="49" t="n">
        <f aca="false">SUM(M16:M27)</f>
        <v>105600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77" t="n">
        <f aca="false">SUM(F25:F27)</f>
        <v>2</v>
      </c>
      <c r="H29" s="49"/>
      <c r="O29" s="77" t="n"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2</v>
      </c>
      <c r="M34" s="80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4.14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16" min="16" style="0" width="17.99"/>
    <col collapsed="false" customWidth="true" hidden="true" outlineLevel="0" max="17" min="17" style="0" width="24.13"/>
    <col collapsed="false" customWidth="false" hidden="true" outlineLevel="0" max="18" min="18" style="0" width="9.06"/>
  </cols>
  <sheetData>
    <row r="1" customFormat="false" ht="18" hidden="false" customHeight="false" outlineLevel="0" collapsed="false">
      <c r="B1" s="50" t="str">
        <f aca="false">'[6]Team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243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'[7]Executive Orig'!C8+[7]Trading!C8+[7]Origination!C8+'[7]Mid Market'!C8+[7]Services!C8+[7]Fundamentals!C8</f>
        <v>4789958.99</v>
      </c>
      <c r="E8" s="64" t="n">
        <f aca="false">(C8/9)*12</f>
        <v>6386611.98666667</v>
      </c>
      <c r="F8" s="64"/>
      <c r="G8" s="64" t="n">
        <f aca="false">(SUM(N16:N20,N23:N27))*1.2</f>
        <v>357120</v>
      </c>
      <c r="H8" s="64"/>
      <c r="I8" s="91" t="n">
        <f aca="false">+G8/$G$23</f>
        <v>0.633366090662281</v>
      </c>
      <c r="K8" s="88" t="s">
        <v>116</v>
      </c>
      <c r="L8" s="49" t="n">
        <v>0</v>
      </c>
      <c r="M8" s="26" t="n">
        <v>64</v>
      </c>
      <c r="N8" s="92" t="n">
        <f aca="false">N28</f>
        <v>357120</v>
      </c>
      <c r="O8" s="64" t="n">
        <f aca="false">+G8/$G$29*$O$29</f>
        <v>59520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'[7]Executive Orig'!C9+[7]Trading!C9+[7]Origination!C9+'[7]Mid Market'!C9+[7]Services!C9+[7]Fundamentals!C9</f>
        <v>1464000</v>
      </c>
      <c r="E9" s="64" t="n">
        <f aca="false">+C9</f>
        <v>1464000</v>
      </c>
      <c r="F9" s="64"/>
      <c r="G9" s="64" t="n">
        <v>0</v>
      </c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'[7]Executive Orig'!C10+[7]Trading!C10+[7]Origination!C10+'[7]Mid Market'!C10+[7]Services!C10+[7]Fundamentals!C10</f>
        <v>804567</v>
      </c>
      <c r="E10" s="64" t="n">
        <f aca="false">(C10/9)*12</f>
        <v>1072756</v>
      </c>
      <c r="F10" s="64"/>
      <c r="G10" s="64" t="n">
        <f aca="false">(+N21+N22)*1.2</f>
        <v>0</v>
      </c>
      <c r="H10" s="64"/>
      <c r="I10" s="91" t="n">
        <f aca="false">+G10/$G$23</f>
        <v>0</v>
      </c>
      <c r="K10" s="88"/>
      <c r="L10" s="26"/>
      <c r="M10" s="26"/>
      <c r="N10" s="8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'[7]Executive Orig'!C11+[7]Trading!C11+[7]Origination!C11+'[7]Mid Market'!C11+[7]Services!C11+[7]Fundamentals!C11</f>
        <v>1096068.21</v>
      </c>
      <c r="E11" s="64" t="n">
        <f aca="false">(C11/9)*12</f>
        <v>1461424.28</v>
      </c>
      <c r="F11" s="64"/>
      <c r="G11" s="64" t="n">
        <f aca="false">(+G8*0.2+(N21+N22)*0.2)*1.2</f>
        <v>85708.8</v>
      </c>
      <c r="H11" s="64"/>
      <c r="I11" s="91" t="n">
        <f aca="false">+G11/$G$23</f>
        <v>0.152007861758947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6</v>
      </c>
      <c r="N11" s="92" t="n">
        <f aca="false">L11*M11</f>
        <v>285203.131685393</v>
      </c>
      <c r="O11" s="64" t="n">
        <f aca="false">+G11/$G$29*$O$29</f>
        <v>14284.8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'[7]Executive Orig'!C12+[7]Trading!C12+[7]Origination!C12+'[7]Mid Market'!C12+[7]Services!C12+[7]Fundamentals!C12</f>
        <v>658117.68</v>
      </c>
      <c r="E12" s="68" t="n">
        <f aca="false">((C12/9)*12)*1.2</f>
        <v>1052988.288</v>
      </c>
      <c r="F12" s="64"/>
      <c r="G12" s="64" t="n">
        <v>12000</v>
      </c>
      <c r="H12" s="64"/>
      <c r="I12" s="91" t="n">
        <f aca="false">+G12/$G$23</f>
        <v>0.021282462723867</v>
      </c>
      <c r="K12" s="88"/>
      <c r="L12" s="26"/>
      <c r="M12" s="26"/>
      <c r="N12" s="89"/>
      <c r="O12" s="64" t="n">
        <f aca="false">+G12/$G$29*$O$29</f>
        <v>2000</v>
      </c>
      <c r="P12" s="67"/>
      <c r="Q12" s="67"/>
      <c r="R12" s="67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'[7]Executive Orig'!C13+[7]Trading!C13+[7]Origination!C13+'[7]Mid Market'!C13+[7]Services!C13+[7]Fundamentals!C13</f>
        <v>719773.8</v>
      </c>
      <c r="E13" s="68" t="n">
        <f aca="false">((C13/9)*12)*1.2</f>
        <v>1151638.08</v>
      </c>
      <c r="F13" s="64"/>
      <c r="G13" s="64" t="n">
        <v>12000</v>
      </c>
      <c r="H13" s="64"/>
      <c r="I13" s="91" t="n">
        <f aca="false">+G13/$G$23</f>
        <v>0.021282462723867</v>
      </c>
      <c r="K13" s="93" t="s">
        <v>125</v>
      </c>
      <c r="L13" s="94"/>
      <c r="M13" s="94"/>
      <c r="N13" s="95" t="n">
        <f aca="false">N8+N11</f>
        <v>642323.131685393</v>
      </c>
      <c r="O13" s="64" t="n">
        <f aca="false">+G13/$G$29*$O$29</f>
        <v>2000</v>
      </c>
      <c r="P13" s="67"/>
      <c r="Q13" s="67"/>
      <c r="R13" s="67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'[7]Executive Orig'!C14+[7]Trading!C14+[7]Origination!C14+'[7]Mid Market'!C14+[7]Services!C14+[7]Fundamentals!C14-C32</f>
        <v>0.239999999757856</v>
      </c>
      <c r="E14" s="68" t="n">
        <f aca="false">((C14/9)*12)*1.2</f>
        <v>0.38399999961257</v>
      </c>
      <c r="F14" s="64"/>
      <c r="G14" s="64" t="n">
        <v>48000</v>
      </c>
      <c r="H14" s="64"/>
      <c r="I14" s="91" t="n">
        <f aca="false">+G14/$G$23</f>
        <v>0.0851298508954679</v>
      </c>
      <c r="O14" s="64" t="n">
        <f aca="false">+G14/$G$29*$O$29</f>
        <v>8000</v>
      </c>
      <c r="P14" s="67"/>
      <c r="Q14" s="67"/>
      <c r="R14" s="67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'[7]Executive Orig'!C15+[7]Trading!C15+[7]Origination!C15+'[7]Mid Market'!C15+[7]Services!C15+[7]Fundamentals!C15</f>
        <v>128890.14</v>
      </c>
      <c r="E15" s="68" t="n">
        <f aca="false">((C15/9)*12)*1.2</f>
        <v>206224.224</v>
      </c>
      <c r="F15" s="64"/>
      <c r="G15" s="64" t="n">
        <v>20736</v>
      </c>
      <c r="H15" s="64"/>
      <c r="I15" s="91" t="n">
        <f aca="false">+G15/$G$23</f>
        <v>0.0367760955868421</v>
      </c>
      <c r="O15" s="64" t="n">
        <f aca="false">+G15/$G$29*$O$29</f>
        <v>3456</v>
      </c>
      <c r="P15" s="67"/>
      <c r="Q15" s="67"/>
      <c r="R15" s="67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'[7]Executive Orig'!C16+[7]Trading!C16+[7]Origination!C16+'[7]Mid Market'!C16+[7]Services!C16+[7]Fundamentals!C16</f>
        <v>0</v>
      </c>
      <c r="E16" s="68" t="n">
        <f aca="false">((C16/9)*12)*1.2</f>
        <v>0</v>
      </c>
      <c r="F16" s="64"/>
      <c r="G16" s="64" t="n">
        <f aca="false">(+E16/$E$29*$M$11)*1.2</f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1</v>
      </c>
      <c r="N16" s="49" t="n">
        <f aca="false">L16*M16</f>
        <v>33600</v>
      </c>
      <c r="O16" s="64" t="n">
        <f aca="false">+G16/$G$29*$O$29</f>
        <v>0</v>
      </c>
      <c r="P16" s="67"/>
      <c r="Q16" s="67"/>
      <c r="R16" s="67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'[7]Executive Orig'!C17+[7]Trading!C17+[7]Origination!C17+'[7]Mid Market'!C17+[7]Services!C17+[7]Fundamentals!C17</f>
        <v>11300</v>
      </c>
      <c r="E17" s="68" t="n">
        <f aca="false">((C17/9)*12)*1.2</f>
        <v>18080</v>
      </c>
      <c r="F17" s="64"/>
      <c r="G17" s="64" t="n">
        <v>0</v>
      </c>
      <c r="H17" s="64"/>
      <c r="I17" s="91" t="n">
        <f aca="false">+G17/$G$23</f>
        <v>0</v>
      </c>
      <c r="K17" s="0" t="s">
        <v>135</v>
      </c>
      <c r="L17" s="49" t="n">
        <v>52800</v>
      </c>
      <c r="M17" s="0" t="n">
        <f aca="false">5</f>
        <v>5</v>
      </c>
      <c r="N17" s="49" t="n">
        <f aca="false">L17*M17</f>
        <v>264000</v>
      </c>
      <c r="O17" s="64" t="n">
        <f aca="false">+G17/$G$29*$O$29</f>
        <v>0</v>
      </c>
      <c r="P17" s="67"/>
      <c r="Q17" s="67"/>
      <c r="R17" s="67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'[7]Executive Orig'!C18+[7]Trading!C18+[7]Origination!C18+'[7]Mid Market'!C18+[7]Services!C18+[7]Fundamentals!C18</f>
        <v>327447.74</v>
      </c>
      <c r="E18" s="68" t="n">
        <f aca="false">((C18/9)*12)*1.2</f>
        <v>523916.384</v>
      </c>
      <c r="F18" s="64"/>
      <c r="G18" s="64" t="n">
        <f aca="false">(+(75*12*6))*1.2</f>
        <v>6480</v>
      </c>
      <c r="H18" s="64"/>
      <c r="I18" s="91" t="n">
        <f aca="false">+G18/$G$23</f>
        <v>0.0114925298708882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1080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'[7]Executive Orig'!C19+[7]Trading!C19+[7]Origination!C19+'[7]Mid Market'!C19+[7]Services!C19+[7]Fundamentals!C19</f>
        <v>155845.37</v>
      </c>
      <c r="E19" s="68" t="n">
        <f aca="false">((C19/9)*12)*1.2</f>
        <v>249352.592</v>
      </c>
      <c r="F19" s="64"/>
      <c r="G19" s="64" t="n">
        <v>6000</v>
      </c>
      <c r="H19" s="64"/>
      <c r="I19" s="91" t="n">
        <f aca="false">+G19/$G$23</f>
        <v>0.0106412313619335</v>
      </c>
      <c r="K19" s="0" t="s">
        <v>141</v>
      </c>
      <c r="L19" s="49" t="n">
        <v>63000</v>
      </c>
      <c r="M19" s="0" t="n">
        <v>0</v>
      </c>
      <c r="N19" s="49" t="n">
        <f aca="false">L19*M19</f>
        <v>0</v>
      </c>
      <c r="O19" s="64" t="n">
        <f aca="false">+G19/$G$29*$O$29</f>
        <v>1000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'[7]Executive Orig'!C20+[7]Trading!C20+[7]Origination!C20+'[7]Mid Market'!C20+[7]Services!C20+[7]Fundamentals!C20</f>
        <v>116.15</v>
      </c>
      <c r="E20" s="68" t="n">
        <f aca="false">((C20/9)*12)*1.2</f>
        <v>185.84</v>
      </c>
      <c r="F20" s="64"/>
      <c r="G20" s="64" t="n">
        <v>0</v>
      </c>
      <c r="H20" s="64"/>
      <c r="I20" s="91" t="n">
        <f aca="false">+G20/$G$23</f>
        <v>0</v>
      </c>
      <c r="K20" s="0" t="s">
        <v>144</v>
      </c>
      <c r="L20" s="49" t="n">
        <v>78000</v>
      </c>
      <c r="M20" s="0" t="n">
        <v>0</v>
      </c>
      <c r="N20" s="49" t="n">
        <f aca="false">L20*M20</f>
        <v>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'[7]Executive Orig'!C21+[7]Trading!C21+[7]Origination!C21+'[7]Mid Market'!C21+[7]Services!C21+[7]Fundamentals!C21</f>
        <v>566869.93</v>
      </c>
      <c r="E21" s="68" t="n">
        <f aca="false">((C21/9)*12)*1.2</f>
        <v>906991.888</v>
      </c>
      <c r="F21" s="64"/>
      <c r="G21" s="64" t="n">
        <v>6000</v>
      </c>
      <c r="H21" s="64"/>
      <c r="I21" s="91" t="n">
        <f aca="false">+G21/$G$23</f>
        <v>0.0106412313619335</v>
      </c>
      <c r="K21" s="0" t="s">
        <v>147</v>
      </c>
      <c r="L21" s="49" t="n">
        <v>66000</v>
      </c>
      <c r="M21" s="0" t="n">
        <v>0</v>
      </c>
      <c r="N21" s="49" t="n">
        <f aca="false">L21*M21</f>
        <v>0</v>
      </c>
      <c r="O21" s="64" t="n">
        <f aca="false">+G21/$G$29*$O$29</f>
        <v>1000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'[7]Executive Orig'!C22+[7]Trading!C22+[7]Origination!C22+'[7]Mid Market'!C22+[7]Services!C22+[7]Fundamentals!C22</f>
        <v>75709.65</v>
      </c>
      <c r="E22" s="68" t="n">
        <f aca="false">((C22/9)*12)*1.2</f>
        <v>121135.44</v>
      </c>
      <c r="F22" s="64"/>
      <c r="G22" s="64" t="n">
        <f aca="false">(+E22/$E$29*$M$11)*1.2</f>
        <v>9799.72098876404</v>
      </c>
      <c r="H22" s="64"/>
      <c r="I22" s="91" t="n">
        <f aca="false">+G22/$G$23</f>
        <v>0.0173801830539723</v>
      </c>
      <c r="K22" s="0" t="s">
        <v>150</v>
      </c>
      <c r="L22" s="49" t="n">
        <v>97200</v>
      </c>
      <c r="M22" s="0" t="n">
        <v>0</v>
      </c>
      <c r="N22" s="49" t="n">
        <f aca="false">L22*M22</f>
        <v>0</v>
      </c>
      <c r="O22" s="64" t="n">
        <f aca="false">+G22/$G$29*$O$29</f>
        <v>1633.28683146067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563844.520988764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0</v>
      </c>
      <c r="N23" s="49" t="n">
        <f aca="false">L23*M23</f>
        <v>0</v>
      </c>
      <c r="O23" s="74" t="n">
        <f aca="false">SUM(O8:O22)</f>
        <v>93974.0868314607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v>0</v>
      </c>
      <c r="N24" s="49" t="n">
        <f aca="false">L24*M24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'[7]Executive Orig'!E25+[7]Trading!E25+[7]Origination!E25+'[7]Mid Market'!E25+[7]Services!E25+[7]Fundamentals!E25</f>
        <v>74</v>
      </c>
      <c r="F25" s="64"/>
      <c r="G25" s="77" t="n">
        <f aca="false">SUM(M16:M20,M23:M27)</f>
        <v>6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0</v>
      </c>
      <c r="N26" s="49" t="n">
        <f aca="false">L26*M26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'[7]Executive Orig'!E27+[7]Trading!E27+[7]Origination!E27+'[7]Mid Market'!E27+[7]Services!E27+[7]Fundamentals!E27</f>
        <v>15</v>
      </c>
      <c r="F27" s="64"/>
      <c r="G27" s="77" t="n">
        <f aca="false">+M21+M22</f>
        <v>0</v>
      </c>
      <c r="H27" s="64"/>
      <c r="K27" s="0" t="s">
        <v>158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49" t="n">
        <f aca="false">SUM(N16:N27)*1.2</f>
        <v>357120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f aca="false">+G27+G25</f>
        <v>6</v>
      </c>
      <c r="H29" s="64"/>
      <c r="I29" s="49"/>
      <c r="O29" s="77" t="n"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6</v>
      </c>
      <c r="N34" s="80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50" t="str">
        <f aca="false">'[8]Team Report'!B1</f>
        <v>Enron North America</v>
      </c>
      <c r="C1" s="50"/>
      <c r="D1" s="50"/>
      <c r="E1" s="50"/>
      <c r="F1" s="50"/>
      <c r="G1" s="50"/>
      <c r="H1" s="52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244</v>
      </c>
      <c r="C2" s="50"/>
      <c r="D2" s="50"/>
      <c r="E2" s="50"/>
      <c r="F2" s="50"/>
      <c r="G2" s="50"/>
      <c r="H2" s="52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H4" s="85"/>
      <c r="I4" s="56"/>
      <c r="J4" s="86"/>
      <c r="K4" s="87"/>
    </row>
    <row r="5" customFormat="false" ht="12.75" hidden="false" customHeight="false" outlineLevel="0" collapsed="false">
      <c r="H5" s="88"/>
      <c r="I5" s="49" t="s">
        <v>105</v>
      </c>
      <c r="J5" s="26" t="s">
        <v>106</v>
      </c>
      <c r="K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110</v>
      </c>
      <c r="G6" s="60" t="s">
        <v>110</v>
      </c>
      <c r="H6" s="88"/>
      <c r="J6" s="26"/>
      <c r="K6" s="89"/>
      <c r="O6" s="100" t="n">
        <v>2002</v>
      </c>
      <c r="AK6" s="10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H7" s="88"/>
      <c r="J7" s="26"/>
      <c r="K7" s="89"/>
      <c r="O7" s="61" t="s">
        <v>114</v>
      </c>
      <c r="AK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+'[9]Natural Gas'!C8+[9]Ontario!C8+[9]Finance!C8+[9]Executive!C8+[9]Alberta!C8</f>
        <v>2855922.03</v>
      </c>
      <c r="E8" s="64" t="n">
        <f aca="false">+'[9]Natural Gas'!E8+[9]Ontario!E8+[9]Finance!E8+[9]Executive!E8+[9]Alberta!E8</f>
        <v>3807896.04</v>
      </c>
      <c r="G8" s="64" t="n">
        <f aca="false">K28-G11-G10</f>
        <v>2197008</v>
      </c>
      <c r="H8" s="88" t="s">
        <v>116</v>
      </c>
      <c r="I8" s="49" t="n">
        <v>0</v>
      </c>
      <c r="J8" s="26"/>
      <c r="K8" s="92" t="n">
        <f aca="false">K28</f>
        <v>3912480</v>
      </c>
      <c r="O8" s="64" t="n">
        <f aca="false">+G8/$G$29*$O$29</f>
        <v>81370.6666666667</v>
      </c>
      <c r="AK8" s="64"/>
    </row>
    <row r="9" customFormat="false" ht="12.75" hidden="false" customHeight="false" outlineLevel="0" collapsed="false">
      <c r="A9" s="62"/>
      <c r="B9" s="63" t="s">
        <v>117</v>
      </c>
      <c r="C9" s="64" t="n">
        <f aca="false">+'[9]Natural Gas'!C9+[9]Ontario!C9+[9]Finance!C9+[9]Executive!C9+[9]Alberta!C9</f>
        <v>0</v>
      </c>
      <c r="E9" s="64" t="n">
        <f aca="false">+'[9]Natural Gas'!E9+[9]Ontario!E9+[9]Finance!E9+[9]Executive!E9+[9]Alberta!E9</f>
        <v>0</v>
      </c>
      <c r="G9" s="64" t="n">
        <v>0</v>
      </c>
      <c r="H9" s="88"/>
      <c r="J9" s="26"/>
      <c r="K9" s="89"/>
      <c r="O9" s="64" t="n">
        <f aca="false">+G9/$G$29*$O$29</f>
        <v>0</v>
      </c>
      <c r="AK9" s="64"/>
    </row>
    <row r="10" customFormat="false" ht="12.75" hidden="false" customHeight="false" outlineLevel="0" collapsed="false">
      <c r="A10" s="62"/>
      <c r="B10" s="63" t="s">
        <v>211</v>
      </c>
      <c r="C10" s="64" t="n">
        <v>0</v>
      </c>
      <c r="E10" s="64" t="n">
        <v>0</v>
      </c>
      <c r="G10" s="64" t="n">
        <f aca="false">K22+K21</f>
        <v>788400</v>
      </c>
      <c r="H10" s="88"/>
      <c r="J10" s="26"/>
      <c r="K10" s="89"/>
      <c r="O10" s="64" t="n">
        <f aca="false">+G10/$G$29*$O$29</f>
        <v>29200</v>
      </c>
      <c r="AK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+'[9]Natural Gas'!C11+[9]Ontario!C11+[9]Finance!C11+[9]Executive!C10+[9]Alberta!C11</f>
        <v>312682.37</v>
      </c>
      <c r="E11" s="64" t="n">
        <f aca="false">+'[9]Natural Gas'!E11+[9]Ontario!E11+[9]Finance!E11+[9]Executive!E10+[9]Alberta!E11</f>
        <v>416909.826666667</v>
      </c>
      <c r="G11" s="64" t="n">
        <v>927072</v>
      </c>
      <c r="H11" s="88" t="s">
        <v>78</v>
      </c>
      <c r="I11" s="80" t="n">
        <f aca="false">(E12+E13+E14+E15+E16+E17+E18+E19+E20+E21+E22)/E29</f>
        <v>31253.50784</v>
      </c>
      <c r="J11" s="26" t="n">
        <f aca="false">J28</f>
        <v>27</v>
      </c>
      <c r="K11" s="92" t="n">
        <f aca="false">I11*J11</f>
        <v>843844.71168</v>
      </c>
      <c r="O11" s="64" t="n">
        <f aca="false">+G11/$G$29*$O$29</f>
        <v>34336</v>
      </c>
      <c r="AK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+'[9]Natural Gas'!C12+[9]Ontario!C12+[9]Finance!C12+[9]Executive!C12+[9]Alberta!C12</f>
        <v>67320.13</v>
      </c>
      <c r="E12" s="68" t="n">
        <f aca="false">(+'[9]Natural Gas'!E12+[9]Ontario!E12+[9]Finance!E12+[9]Executive!E12+[9]Alberta!E12)*1.2</f>
        <v>107712.208</v>
      </c>
      <c r="G12" s="64" t="n">
        <f aca="false">(E12/$E$29)*$G$29</f>
        <v>58164.59232</v>
      </c>
      <c r="H12" s="88"/>
      <c r="J12" s="26"/>
      <c r="K12" s="89"/>
      <c r="O12" s="64" t="n">
        <f aca="false">+G12/$G$29*$O$29</f>
        <v>2154.24416</v>
      </c>
      <c r="AK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+'[9]Natural Gas'!C13+[9]Ontario!C13+[9]Finance!C13+[9]Executive!C13+[9]Alberta!C13</f>
        <v>297871.84</v>
      </c>
      <c r="E13" s="68" t="n">
        <f aca="false">(+'[9]Natural Gas'!E13+[9]Ontario!E13+[9]Finance!E13+[9]Executive!E13+[9]Alberta!E13)*1.2</f>
        <v>476594.944</v>
      </c>
      <c r="G13" s="64" t="n">
        <f aca="false">(E13/$E$29)*$G$29</f>
        <v>257361.26976</v>
      </c>
      <c r="H13" s="93" t="s">
        <v>125</v>
      </c>
      <c r="I13" s="70"/>
      <c r="J13" s="94"/>
      <c r="K13" s="95" t="n">
        <f aca="false">K8+K11</f>
        <v>4756324.71168</v>
      </c>
      <c r="O13" s="64" t="n">
        <f aca="false">+G13/$G$29*$O$29</f>
        <v>9531.89888</v>
      </c>
      <c r="AK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+'[9]Natural Gas'!C14+[9]Ontario!C14+[9]Finance!C14+[9]Executive!C14+[9]Alberta!C14</f>
        <v>505739.98</v>
      </c>
      <c r="E14" s="68" t="n">
        <f aca="false">(+'[9]Natural Gas'!E14+[9]Ontario!E14+[9]Finance!E14+[9]Executive!E14+[9]Alberta!E14)*1.2</f>
        <v>809183.968</v>
      </c>
      <c r="G14" s="64" t="n">
        <f aca="false">(E14/$E$29)*$G$29</f>
        <v>436959.34272</v>
      </c>
      <c r="O14" s="64" t="n">
        <f aca="false">+G14/$G$29*$O$29</f>
        <v>16183.67936</v>
      </c>
      <c r="AK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+'[9]Natural Gas'!C15+[9]Ontario!C15+[9]Finance!C15+[9]Executive!C15+[9]Alberta!C15</f>
        <v>6427.42</v>
      </c>
      <c r="E15" s="68" t="n">
        <f aca="false">(+'[9]Natural Gas'!E15+[9]Ontario!E15+[9]Finance!E15+[9]Executive!E15+[9]Alberta!E15)*1.2</f>
        <v>10283.872</v>
      </c>
      <c r="G15" s="64" t="n">
        <f aca="false">(E15/$E$29)*$G$29</f>
        <v>5553.29088</v>
      </c>
      <c r="O15" s="64" t="n">
        <f aca="false">+G15/$G$29*$O$29</f>
        <v>205.67744</v>
      </c>
      <c r="AK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+'[9]Natural Gas'!C16+[9]Ontario!C16+[9]Finance!C16+[9]Executive!C16+[9]Alberta!C16</f>
        <v>0</v>
      </c>
      <c r="E16" s="68" t="n">
        <f aca="false">(+'[9]Natural Gas'!E16+[9]Ontario!E16+[9]Finance!E16+[9]Executive!E16+[9]Alberta!E16)*1.2</f>
        <v>0</v>
      </c>
      <c r="G16" s="64" t="n">
        <f aca="false">(E16/$E$29)*$G$29</f>
        <v>0</v>
      </c>
      <c r="H16" s="0" t="s">
        <v>197</v>
      </c>
      <c r="I16" s="49" t="n">
        <v>33600</v>
      </c>
      <c r="J16" s="0" t="n">
        <v>0</v>
      </c>
      <c r="K16" s="0" t="n">
        <f aca="false">I16*J16</f>
        <v>0</v>
      </c>
      <c r="O16" s="64" t="n">
        <f aca="false">+G16/$G$29*$O$29</f>
        <v>0</v>
      </c>
      <c r="AK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+'[9]Natural Gas'!C17+[9]Ontario!C17+[9]Finance!C17+[9]Executive!C17+[9]Alberta!C17</f>
        <v>1883.62</v>
      </c>
      <c r="E17" s="68" t="n">
        <f aca="false">(+'[9]Natural Gas'!E17+[9]Ontario!E17+[9]Finance!E17+[9]Executive!E17+[9]Alberta!E17)*1.2</f>
        <v>3013.792</v>
      </c>
      <c r="G17" s="64" t="n">
        <f aca="false">(E17/$E$29)*$G$29</f>
        <v>1627.44768</v>
      </c>
      <c r="H17" s="0" t="s">
        <v>135</v>
      </c>
      <c r="I17" s="49" t="n">
        <v>52800</v>
      </c>
      <c r="J17" s="0" t="n">
        <v>0</v>
      </c>
      <c r="K17" s="0" t="n">
        <f aca="false">I17*J17</f>
        <v>0</v>
      </c>
      <c r="O17" s="64" t="n">
        <f aca="false">+G17/$G$29*$O$29</f>
        <v>60.27584</v>
      </c>
      <c r="AK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+'[9]Natural Gas'!C18+[9]Ontario!C18+[9]Finance!C18+[9]Executive!C18+[9]Alberta!C18</f>
        <v>19208.42</v>
      </c>
      <c r="E18" s="68" t="n">
        <f aca="false">(+'[9]Natural Gas'!E18+[9]Ontario!E18+[9]Finance!E18+[9]Executive!E18+[9]Alberta!E18)*1.2</f>
        <v>30733.472</v>
      </c>
      <c r="G18" s="64" t="n">
        <f aca="false">(E18/$E$29)*$G$29</f>
        <v>16596.07488</v>
      </c>
      <c r="H18" s="0" t="s">
        <v>138</v>
      </c>
      <c r="I18" s="49" t="n">
        <v>54000</v>
      </c>
      <c r="J18" s="0" t="n">
        <v>0</v>
      </c>
      <c r="K18" s="0" t="n">
        <f aca="false">I18*J18</f>
        <v>0</v>
      </c>
      <c r="O18" s="64" t="n">
        <f aca="false">+G18/$G$29*$O$29</f>
        <v>614.66944</v>
      </c>
      <c r="AK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+'[9]Natural Gas'!C19+[9]Ontario!C19+[9]Finance!C19+[9]Executive!C19+[9]Alberta!C19</f>
        <v>52344.84</v>
      </c>
      <c r="E19" s="68" t="n">
        <f aca="false">(+'[9]Natural Gas'!E19+[9]Ontario!E19+[9]Finance!E19+[9]Executive!E19+[9]Alberta!E19)*1.2</f>
        <v>83751.744</v>
      </c>
      <c r="G19" s="64" t="n">
        <f aca="false">(E19/$E$29)*$G$29</f>
        <v>45225.94176</v>
      </c>
      <c r="H19" s="0" t="s">
        <v>141</v>
      </c>
      <c r="I19" s="49" t="n">
        <v>63000</v>
      </c>
      <c r="J19" s="0" t="n">
        <v>0</v>
      </c>
      <c r="K19" s="0" t="n">
        <f aca="false">I19*J19</f>
        <v>0</v>
      </c>
      <c r="O19" s="64" t="n">
        <f aca="false">+G19/$G$29*$O$29</f>
        <v>1675.03488</v>
      </c>
      <c r="AK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+'[9]Natural Gas'!C20+[9]Ontario!C20+[9]Finance!C20+[9]Executive!C20+[9]Alberta!C20</f>
        <v>0</v>
      </c>
      <c r="E20" s="68" t="n">
        <f aca="false">(+'[9]Natural Gas'!E20+[9]Ontario!E20+[9]Finance!E20+[9]Executive!E20+[9]Alberta!E20)*1.2</f>
        <v>0</v>
      </c>
      <c r="G20" s="64" t="n">
        <f aca="false">(E20/$E$29)*$G$29</f>
        <v>0</v>
      </c>
      <c r="H20" s="0" t="s">
        <v>144</v>
      </c>
      <c r="I20" s="49" t="n">
        <v>78000</v>
      </c>
      <c r="J20" s="0" t="n">
        <v>0</v>
      </c>
      <c r="K20" s="0" t="n">
        <f aca="false">I20*J20</f>
        <v>0</v>
      </c>
      <c r="O20" s="64" t="n">
        <f aca="false">+G20/$G$29*$O$29</f>
        <v>0</v>
      </c>
      <c r="AK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+'[9]Natural Gas'!C21+[9]Ontario!C21+[9]Finance!C21+[9]Executive!C21+[9]Alberta!C21</f>
        <v>19769.17</v>
      </c>
      <c r="E21" s="68" t="n">
        <f aca="false">(+'[9]Natural Gas'!E21+[9]Ontario!E21+[9]Finance!E21+[9]Executive!E21+[9]Alberta!E21)*1.2</f>
        <v>31630.6720000001</v>
      </c>
      <c r="G21" s="64" t="n">
        <f aca="false">(E21/$E$29)*$G$29</f>
        <v>17080.56288</v>
      </c>
      <c r="H21" s="0" t="s">
        <v>147</v>
      </c>
      <c r="I21" s="49" t="n">
        <v>66000</v>
      </c>
      <c r="J21" s="0" t="n">
        <f aca="false">3+5+1</f>
        <v>9</v>
      </c>
      <c r="K21" s="0" t="n">
        <f aca="false">I21*J21</f>
        <v>594000</v>
      </c>
      <c r="O21" s="64" t="n">
        <f aca="false">+G21/$G$29*$O$29</f>
        <v>632.613440000001</v>
      </c>
      <c r="AK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+'[9]Natural Gas'!C22+[9]Ontario!C22+[9]Finance!C22+[9]Executive!C22+[9]Alberta!C22</f>
        <v>6106.70000000001</v>
      </c>
      <c r="E22" s="68" t="n">
        <f aca="false">(+'[9]Natural Gas'!E22+[9]Ontario!E22+[9]Finance!E22+[9]Executive!E22+[9]Alberta!E22)*1.2</f>
        <v>9770.72000000001</v>
      </c>
      <c r="G22" s="64" t="n">
        <f aca="false">(E22/$E$29)*$G$29</f>
        <v>5276.18880000001</v>
      </c>
      <c r="H22" s="0" t="s">
        <v>150</v>
      </c>
      <c r="I22" s="49" t="n">
        <v>97200</v>
      </c>
      <c r="J22" s="0" t="n">
        <v>2</v>
      </c>
      <c r="K22" s="0" t="n">
        <f aca="false">I22*J22</f>
        <v>194400</v>
      </c>
      <c r="O22" s="64" t="n">
        <f aca="false">+G22/$G$29*$O$29</f>
        <v>195.4144</v>
      </c>
      <c r="AK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4756324.71168</v>
      </c>
      <c r="H23" s="0" t="s">
        <v>153</v>
      </c>
      <c r="I23" s="49" t="n">
        <v>120000</v>
      </c>
      <c r="J23" s="0" t="n">
        <f aca="false">6+1+1</f>
        <v>8</v>
      </c>
      <c r="K23" s="0" t="n">
        <f aca="false">I23*J23</f>
        <v>960000</v>
      </c>
      <c r="O23" s="74" t="n">
        <f aca="false">SUM(O8:O22)</f>
        <v>176160.174506667</v>
      </c>
      <c r="AK23" s="76"/>
    </row>
    <row r="24" customFormat="false" ht="12.75" hidden="false" customHeight="false" outlineLevel="0" collapsed="false">
      <c r="H24" s="0" t="s">
        <v>154</v>
      </c>
      <c r="I24" s="49" t="n">
        <v>156000</v>
      </c>
      <c r="J24" s="0" t="n">
        <v>4</v>
      </c>
      <c r="K24" s="0" t="n">
        <f aca="false">I24*J24</f>
        <v>624000</v>
      </c>
      <c r="AK24" s="26"/>
    </row>
    <row r="25" customFormat="false" ht="12.75" hidden="false" customHeight="false" outlineLevel="0" collapsed="false">
      <c r="B25" s="73" t="s">
        <v>7</v>
      </c>
      <c r="C25" s="3"/>
      <c r="E25" s="101" t="n">
        <f aca="false">+'[9]Natural Gas'!E25+[9]Ontario!E25+[9]Finance!E25+[9]Executive!E25+[9]Alberta!E25</f>
        <v>30</v>
      </c>
      <c r="G25" s="101" t="n">
        <f aca="false">SUM(J16:J20,J23:J27)</f>
        <v>16</v>
      </c>
      <c r="H25" s="0" t="s">
        <v>155</v>
      </c>
      <c r="I25" s="49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4"/>
    </row>
    <row r="26" customFormat="false" ht="12.75" hidden="false" customHeight="false" outlineLevel="0" collapsed="false">
      <c r="C26" s="64"/>
      <c r="E26" s="63"/>
      <c r="G26" s="63"/>
      <c r="H26" s="0" t="s">
        <v>156</v>
      </c>
      <c r="I26" s="49" t="n">
        <v>216000</v>
      </c>
      <c r="J26" s="0" t="n">
        <f aca="false">1+1+1</f>
        <v>3</v>
      </c>
      <c r="K26" s="0" t="n">
        <f aca="false">I26*J26</f>
        <v>648000</v>
      </c>
      <c r="O26" s="64"/>
      <c r="AK26" s="64"/>
    </row>
    <row r="27" customFormat="false" ht="12.75" hidden="false" customHeight="false" outlineLevel="0" collapsed="false">
      <c r="B27" s="73" t="s">
        <v>198</v>
      </c>
      <c r="C27" s="64"/>
      <c r="E27" s="101" t="n">
        <f aca="false">+'[9]Natural Gas'!E27+[9]Ontario!E27+[9]Finance!E27+[9]Executive!E27+[9]Alberta!E27</f>
        <v>20</v>
      </c>
      <c r="G27" s="101" t="n">
        <f aca="false">SUM(J21:J22)</f>
        <v>11</v>
      </c>
      <c r="H27" s="0" t="s">
        <v>212</v>
      </c>
      <c r="I27" s="49" t="n">
        <v>240000</v>
      </c>
      <c r="J27" s="0" t="n">
        <v>1</v>
      </c>
      <c r="K27" s="0" t="n">
        <f aca="false">I27*J27</f>
        <v>240000</v>
      </c>
      <c r="O27" s="77" t="n">
        <f aca="false">+U21+U22</f>
        <v>0</v>
      </c>
      <c r="AK27" s="6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50</v>
      </c>
      <c r="F29" s="64"/>
      <c r="G29" s="77" t="n">
        <f aca="false">+G27+G25</f>
        <v>27</v>
      </c>
      <c r="H29" s="66"/>
      <c r="O29" s="77" t="n">
        <v>1</v>
      </c>
      <c r="AK29" s="64"/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214</v>
      </c>
      <c r="C31" s="64"/>
      <c r="E31" s="64"/>
      <c r="G31" s="16" t="s">
        <v>160</v>
      </c>
      <c r="H31" s="49"/>
      <c r="J31" s="49"/>
    </row>
    <row r="32" customFormat="false" ht="12.75" hidden="true" customHeight="false" outlineLevel="0" collapsed="false">
      <c r="A32" s="62" t="s">
        <v>215</v>
      </c>
      <c r="B32" s="63"/>
      <c r="C32" s="64"/>
      <c r="E32" s="64"/>
      <c r="H32" s="49"/>
      <c r="J32" s="49"/>
    </row>
    <row r="33" customFormat="false" ht="12.75" hidden="true" customHeight="false" outlineLevel="0" collapsed="false">
      <c r="A33" s="62" t="s">
        <v>216</v>
      </c>
      <c r="B33" s="63"/>
      <c r="C33" s="64"/>
      <c r="E33" s="64"/>
      <c r="G33" s="79" t="s">
        <v>161</v>
      </c>
      <c r="H33" s="80" t="s">
        <v>162</v>
      </c>
      <c r="I33" s="80" t="s">
        <v>163</v>
      </c>
      <c r="J33" s="80" t="s">
        <v>106</v>
      </c>
      <c r="K33" s="80" t="s">
        <v>164</v>
      </c>
    </row>
    <row r="34" customFormat="false" ht="12.75" hidden="true" customHeight="false" outlineLevel="0" collapsed="false">
      <c r="A34" s="62" t="s">
        <v>217</v>
      </c>
      <c r="B34" s="63"/>
      <c r="C34" s="64"/>
      <c r="E34" s="64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27</v>
      </c>
      <c r="K34" s="80" t="n">
        <f aca="false">+I34*J34</f>
        <v>843844.71168</v>
      </c>
    </row>
    <row r="35" customFormat="false" ht="12.75" hidden="true" customHeight="false" outlineLevel="0" collapsed="false">
      <c r="A35" s="62" t="s">
        <v>218</v>
      </c>
      <c r="B35" s="63"/>
      <c r="C35" s="64"/>
      <c r="E35" s="64"/>
    </row>
    <row r="36" customFormat="false" ht="12.75" hidden="true" customHeight="false" outlineLevel="0" collapsed="false">
      <c r="A36" s="62" t="s">
        <v>219</v>
      </c>
      <c r="B36" s="63"/>
      <c r="C36" s="64"/>
      <c r="E36" s="64"/>
    </row>
    <row r="37" customFormat="false" ht="12.75" hidden="true" customHeight="false" outlineLevel="0" collapsed="false">
      <c r="A37" s="62" t="s">
        <v>220</v>
      </c>
      <c r="B37" s="63"/>
      <c r="C37" s="64"/>
      <c r="E37" s="64"/>
    </row>
    <row r="38" customFormat="false" ht="12.75" hidden="true" customHeight="false" outlineLevel="0" collapsed="false">
      <c r="A38" s="62" t="s">
        <v>221</v>
      </c>
      <c r="B38" s="63"/>
      <c r="C38" s="64"/>
      <c r="E38" s="64"/>
    </row>
    <row r="39" customFormat="false" ht="12.75" hidden="true" customHeight="false" outlineLevel="0" collapsed="false">
      <c r="B39" s="63"/>
      <c r="C39" s="64"/>
      <c r="E39" s="64"/>
    </row>
    <row r="40" customFormat="false" ht="12.75" hidden="true" customHeight="false" outlineLevel="0" collapsed="false">
      <c r="B40" s="63"/>
      <c r="C40" s="64"/>
      <c r="E40" s="64"/>
    </row>
    <row r="41" customFormat="false" ht="12.75" hidden="true" customHeight="false" outlineLevel="0" collapsed="false">
      <c r="B41" s="63"/>
      <c r="C41" s="64"/>
      <c r="E41" s="6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4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50" t="str">
        <f aca="false">'[8]Team Report'!B1</f>
        <v>Enron North America</v>
      </c>
      <c r="C1" s="50"/>
      <c r="D1" s="50"/>
      <c r="E1" s="50"/>
      <c r="F1" s="50"/>
      <c r="G1" s="50"/>
      <c r="H1" s="52"/>
      <c r="I1" s="5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</row>
    <row r="2" customFormat="false" ht="18" hidden="false" customHeight="false" outlineLevel="0" collapsed="false">
      <c r="B2" s="50" t="s">
        <v>245</v>
      </c>
      <c r="C2" s="50"/>
      <c r="D2" s="50"/>
      <c r="E2" s="50"/>
      <c r="F2" s="50"/>
      <c r="G2" s="50"/>
      <c r="H2" s="52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</row>
    <row r="4" customFormat="false" ht="12.75" hidden="false" customHeight="false" outlineLevel="0" collapsed="false">
      <c r="H4" s="85"/>
      <c r="I4" s="56"/>
      <c r="J4" s="86"/>
      <c r="K4" s="87"/>
    </row>
    <row r="5" customFormat="false" ht="12.75" hidden="false" customHeight="false" outlineLevel="0" collapsed="false">
      <c r="H5" s="88"/>
      <c r="I5" s="49" t="s">
        <v>105</v>
      </c>
      <c r="J5" s="26" t="s">
        <v>106</v>
      </c>
      <c r="K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110</v>
      </c>
      <c r="G6" s="60" t="s">
        <v>110</v>
      </c>
      <c r="H6" s="88"/>
      <c r="J6" s="26"/>
      <c r="K6" s="89"/>
      <c r="O6" s="100" t="n">
        <v>2002</v>
      </c>
      <c r="AK6" s="10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H7" s="88"/>
      <c r="J7" s="26"/>
      <c r="K7" s="89"/>
      <c r="O7" s="61" t="s">
        <v>114</v>
      </c>
      <c r="AK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+'[9]Natural Gas'!C8+[9]Ontario!C8+[9]Finance!C8+[9]Executive!C8+[9]Alberta!C8</f>
        <v>2855922.03</v>
      </c>
      <c r="E8" s="64" t="n">
        <f aca="false">+'[9]Natural Gas'!E8+[9]Ontario!E8+[9]Finance!E8+[9]Executive!E8+[9]Alberta!E8</f>
        <v>3807896.04</v>
      </c>
      <c r="G8" s="64" t="n">
        <f aca="false">K28-G11-G10</f>
        <v>0</v>
      </c>
      <c r="H8" s="88" t="s">
        <v>116</v>
      </c>
      <c r="I8" s="49" t="n">
        <v>0</v>
      </c>
      <c r="J8" s="26"/>
      <c r="K8" s="92" t="n">
        <f aca="false">K28</f>
        <v>0</v>
      </c>
      <c r="O8" s="64" t="e">
        <f aca="false">+G8/$G$29*$O$29</f>
        <v>#DIV/0!</v>
      </c>
      <c r="AK8" s="64"/>
    </row>
    <row r="9" customFormat="false" ht="12.75" hidden="false" customHeight="false" outlineLevel="0" collapsed="false">
      <c r="A9" s="62"/>
      <c r="B9" s="63" t="s">
        <v>117</v>
      </c>
      <c r="C9" s="64" t="n">
        <f aca="false">+'[9]Natural Gas'!C9+[9]Ontario!C9+[9]Finance!C9+[9]Executive!C9+[9]Alberta!C9</f>
        <v>0</v>
      </c>
      <c r="E9" s="64" t="n">
        <f aca="false">+'[9]Natural Gas'!E9+[9]Ontario!E9+[9]Finance!E9+[9]Executive!E9+[9]Alberta!E9</f>
        <v>0</v>
      </c>
      <c r="G9" s="64" t="n">
        <v>0</v>
      </c>
      <c r="H9" s="88"/>
      <c r="J9" s="26"/>
      <c r="K9" s="89"/>
      <c r="O9" s="64" t="e">
        <f aca="false">+G9/$G$29*$O$29</f>
        <v>#DIV/0!</v>
      </c>
      <c r="AK9" s="64"/>
    </row>
    <row r="10" customFormat="false" ht="12.75" hidden="false" customHeight="false" outlineLevel="0" collapsed="false">
      <c r="A10" s="62"/>
      <c r="B10" s="63" t="s">
        <v>211</v>
      </c>
      <c r="C10" s="64" t="n">
        <v>0</v>
      </c>
      <c r="E10" s="64" t="n">
        <v>0</v>
      </c>
      <c r="G10" s="64" t="n">
        <f aca="false">K22+K21</f>
        <v>0</v>
      </c>
      <c r="H10" s="88"/>
      <c r="J10" s="26"/>
      <c r="K10" s="89"/>
      <c r="O10" s="64" t="e">
        <f aca="false">+G10/$G$29*$O$29</f>
        <v>#DIV/0!</v>
      </c>
      <c r="AK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+'[9]Natural Gas'!C11+[9]Ontario!C11+[9]Finance!C11+[9]Executive!C10+[9]Alberta!C11</f>
        <v>312682.37</v>
      </c>
      <c r="E11" s="64" t="n">
        <f aca="false">+'[9]Natural Gas'!E11+[9]Ontario!E11+[9]Finance!E11+[9]Executive!E10+[9]Alberta!E11</f>
        <v>416909.826666667</v>
      </c>
      <c r="G11" s="64" t="n">
        <v>0</v>
      </c>
      <c r="H11" s="88" t="s">
        <v>78</v>
      </c>
      <c r="I11" s="80" t="n">
        <f aca="false">(E12+E13+E14+E15+E16+E17+E18+E19+E20+E21+E22)/E29</f>
        <v>31253.50784</v>
      </c>
      <c r="J11" s="26" t="n">
        <f aca="false">J28</f>
        <v>0</v>
      </c>
      <c r="K11" s="92" t="n">
        <f aca="false">I11*J11</f>
        <v>0</v>
      </c>
      <c r="O11" s="64" t="e">
        <f aca="false">+G11/$G$29*$O$29</f>
        <v>#DIV/0!</v>
      </c>
      <c r="AK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+'[9]Natural Gas'!C12+[9]Ontario!C12+[9]Finance!C12+[9]Executive!C12+[9]Alberta!C12</f>
        <v>67320.13</v>
      </c>
      <c r="E12" s="68" t="n">
        <f aca="false">(+'[9]Natural Gas'!E12+[9]Ontario!E12+[9]Finance!E12+[9]Executive!E12+[9]Alberta!E12)*1.2</f>
        <v>107712.208</v>
      </c>
      <c r="G12" s="64" t="n">
        <f aca="false">(E12/$E$29)*$G$29</f>
        <v>0</v>
      </c>
      <c r="H12" s="88"/>
      <c r="J12" s="26"/>
      <c r="K12" s="89"/>
      <c r="O12" s="64" t="e">
        <f aca="false">+G12/$G$29*$O$29</f>
        <v>#DIV/0!</v>
      </c>
      <c r="AK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+'[9]Natural Gas'!C13+[9]Ontario!C13+[9]Finance!C13+[9]Executive!C13+[9]Alberta!C13</f>
        <v>297871.84</v>
      </c>
      <c r="E13" s="68" t="n">
        <f aca="false">(+'[9]Natural Gas'!E13+[9]Ontario!E13+[9]Finance!E13+[9]Executive!E13+[9]Alberta!E13)*1.2</f>
        <v>476594.944</v>
      </c>
      <c r="G13" s="64" t="n">
        <f aca="false">(E13/$E$29)*$G$29</f>
        <v>0</v>
      </c>
      <c r="H13" s="93" t="s">
        <v>125</v>
      </c>
      <c r="I13" s="70"/>
      <c r="J13" s="94"/>
      <c r="K13" s="95" t="n">
        <f aca="false">K8+K11</f>
        <v>0</v>
      </c>
      <c r="O13" s="64" t="e">
        <f aca="false">+G13/$G$29*$O$29</f>
        <v>#DIV/0!</v>
      </c>
      <c r="AK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+'[9]Natural Gas'!C14+[9]Ontario!C14+[9]Finance!C14+[9]Executive!C14+[9]Alberta!C14</f>
        <v>505739.98</v>
      </c>
      <c r="E14" s="68" t="n">
        <f aca="false">(+'[9]Natural Gas'!E14+[9]Ontario!E14+[9]Finance!E14+[9]Executive!E14+[9]Alberta!E14)*1.2</f>
        <v>809183.968</v>
      </c>
      <c r="G14" s="64" t="n">
        <f aca="false">(E14/$E$29)*$G$29</f>
        <v>0</v>
      </c>
      <c r="O14" s="64" t="e">
        <f aca="false">+G14/$G$29*$O$29</f>
        <v>#DIV/0!</v>
      </c>
      <c r="AK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+'[9]Natural Gas'!C15+[9]Ontario!C15+[9]Finance!C15+[9]Executive!C15+[9]Alberta!C15</f>
        <v>6427.42</v>
      </c>
      <c r="E15" s="68" t="n">
        <f aca="false">(+'[9]Natural Gas'!E15+[9]Ontario!E15+[9]Finance!E15+[9]Executive!E15+[9]Alberta!E15)*1.2</f>
        <v>10283.872</v>
      </c>
      <c r="G15" s="64" t="n">
        <f aca="false">(E15/$E$29)*$G$29</f>
        <v>0</v>
      </c>
      <c r="O15" s="64" t="e">
        <f aca="false">+G15/$G$29*$O$29</f>
        <v>#DIV/0!</v>
      </c>
      <c r="AK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+'[9]Natural Gas'!C16+[9]Ontario!C16+[9]Finance!C16+[9]Executive!C16+[9]Alberta!C16</f>
        <v>0</v>
      </c>
      <c r="E16" s="68" t="n">
        <f aca="false">(+'[9]Natural Gas'!E16+[9]Ontario!E16+[9]Finance!E16+[9]Executive!E16+[9]Alberta!E16)*1.2</f>
        <v>0</v>
      </c>
      <c r="G16" s="64" t="n">
        <f aca="false">(E16/$E$29)*$G$29</f>
        <v>0</v>
      </c>
      <c r="H16" s="0" t="s">
        <v>197</v>
      </c>
      <c r="I16" s="49" t="n">
        <v>33600</v>
      </c>
      <c r="J16" s="0" t="n">
        <v>0</v>
      </c>
      <c r="K16" s="0" t="n">
        <f aca="false">I16*J16</f>
        <v>0</v>
      </c>
      <c r="O16" s="64" t="e">
        <f aca="false">+G16/$G$29*$O$29</f>
        <v>#DIV/0!</v>
      </c>
      <c r="AK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+'[9]Natural Gas'!C17+[9]Ontario!C17+[9]Finance!C17+[9]Executive!C17+[9]Alberta!C17</f>
        <v>1883.62</v>
      </c>
      <c r="E17" s="68" t="n">
        <f aca="false">(+'[9]Natural Gas'!E17+[9]Ontario!E17+[9]Finance!E17+[9]Executive!E17+[9]Alberta!E17)*1.2</f>
        <v>3013.792</v>
      </c>
      <c r="G17" s="64" t="n">
        <f aca="false">(E17/$E$29)*$G$29</f>
        <v>0</v>
      </c>
      <c r="H17" s="0" t="s">
        <v>135</v>
      </c>
      <c r="I17" s="49" t="n">
        <v>52800</v>
      </c>
      <c r="J17" s="0" t="n">
        <v>0</v>
      </c>
      <c r="K17" s="0" t="n">
        <f aca="false">I17*J17</f>
        <v>0</v>
      </c>
      <c r="O17" s="64" t="e">
        <f aca="false">+G17/$G$29*$O$29</f>
        <v>#DIV/0!</v>
      </c>
      <c r="AK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+'[9]Natural Gas'!C18+[9]Ontario!C18+[9]Finance!C18+[9]Executive!C18+[9]Alberta!C18</f>
        <v>19208.42</v>
      </c>
      <c r="E18" s="68" t="n">
        <f aca="false">(+'[9]Natural Gas'!E18+[9]Ontario!E18+[9]Finance!E18+[9]Executive!E18+[9]Alberta!E18)*1.2</f>
        <v>30733.472</v>
      </c>
      <c r="G18" s="64" t="n">
        <f aca="false">(E18/$E$29)*$G$29</f>
        <v>0</v>
      </c>
      <c r="H18" s="0" t="s">
        <v>138</v>
      </c>
      <c r="I18" s="49" t="n">
        <v>54000</v>
      </c>
      <c r="J18" s="0" t="n">
        <v>0</v>
      </c>
      <c r="K18" s="0" t="n">
        <f aca="false">I18*J18</f>
        <v>0</v>
      </c>
      <c r="O18" s="64" t="e">
        <f aca="false">+G18/$G$29*$O$29</f>
        <v>#DIV/0!</v>
      </c>
      <c r="AK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+'[9]Natural Gas'!C19+[9]Ontario!C19+[9]Finance!C19+[9]Executive!C19+[9]Alberta!C19</f>
        <v>52344.84</v>
      </c>
      <c r="E19" s="68" t="n">
        <f aca="false">(+'[9]Natural Gas'!E19+[9]Ontario!E19+[9]Finance!E19+[9]Executive!E19+[9]Alberta!E19)*1.2</f>
        <v>83751.744</v>
      </c>
      <c r="G19" s="64" t="n">
        <f aca="false">(E19/$E$29)*$G$29</f>
        <v>0</v>
      </c>
      <c r="H19" s="0" t="s">
        <v>141</v>
      </c>
      <c r="I19" s="49" t="n">
        <v>63000</v>
      </c>
      <c r="J19" s="0" t="n">
        <v>0</v>
      </c>
      <c r="K19" s="0" t="n">
        <f aca="false">I19*J19</f>
        <v>0</v>
      </c>
      <c r="O19" s="64" t="e">
        <f aca="false">+G19/$G$29*$O$29</f>
        <v>#DIV/0!</v>
      </c>
      <c r="AK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+'[9]Natural Gas'!C20+[9]Ontario!C20+[9]Finance!C20+[9]Executive!C20+[9]Alberta!C20</f>
        <v>0</v>
      </c>
      <c r="E20" s="68" t="n">
        <f aca="false">(+'[9]Natural Gas'!E20+[9]Ontario!E20+[9]Finance!E20+[9]Executive!E20+[9]Alberta!E20)*1.2</f>
        <v>0</v>
      </c>
      <c r="G20" s="64" t="n">
        <f aca="false">(E20/$E$29)*$G$29</f>
        <v>0</v>
      </c>
      <c r="H20" s="0" t="s">
        <v>144</v>
      </c>
      <c r="I20" s="49" t="n">
        <v>78000</v>
      </c>
      <c r="J20" s="0" t="n">
        <v>0</v>
      </c>
      <c r="K20" s="0" t="n">
        <f aca="false">I20*J20</f>
        <v>0</v>
      </c>
      <c r="O20" s="64" t="e">
        <f aca="false">+G20/$G$29*$O$29</f>
        <v>#DIV/0!</v>
      </c>
      <c r="AK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+'[9]Natural Gas'!C21+[9]Ontario!C21+[9]Finance!C21+[9]Executive!C21+[9]Alberta!C21</f>
        <v>19769.17</v>
      </c>
      <c r="E21" s="68" t="n">
        <f aca="false">(+'[9]Natural Gas'!E21+[9]Ontario!E21+[9]Finance!E21+[9]Executive!E21+[9]Alberta!E21)*1.2</f>
        <v>31630.6720000001</v>
      </c>
      <c r="G21" s="64" t="n">
        <f aca="false">(E21/$E$29)*$G$29</f>
        <v>0</v>
      </c>
      <c r="H21" s="0" t="s">
        <v>147</v>
      </c>
      <c r="I21" s="49" t="n">
        <v>66000</v>
      </c>
      <c r="J21" s="0" t="n">
        <v>0</v>
      </c>
      <c r="K21" s="0" t="n">
        <f aca="false">I21*J21</f>
        <v>0</v>
      </c>
      <c r="O21" s="64" t="e">
        <f aca="false">+G21/$G$29*$O$29</f>
        <v>#DIV/0!</v>
      </c>
      <c r="AK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+'[9]Natural Gas'!C22+[9]Ontario!C22+[9]Finance!C22+[9]Executive!C22+[9]Alberta!C22</f>
        <v>6106.70000000001</v>
      </c>
      <c r="E22" s="68" t="n">
        <f aca="false">(+'[9]Natural Gas'!E22+[9]Ontario!E22+[9]Finance!E22+[9]Executive!E22+[9]Alberta!E22)*1.2</f>
        <v>9770.72000000001</v>
      </c>
      <c r="G22" s="64" t="n">
        <f aca="false">(E22/$E$29)*$G$29</f>
        <v>0</v>
      </c>
      <c r="H22" s="0" t="s">
        <v>150</v>
      </c>
      <c r="I22" s="49" t="n">
        <v>97200</v>
      </c>
      <c r="J22" s="0" t="n">
        <v>0</v>
      </c>
      <c r="K22" s="0" t="n">
        <f aca="false">I22*J22</f>
        <v>0</v>
      </c>
      <c r="O22" s="64" t="e">
        <f aca="false">+G22/$G$29*$O$29</f>
        <v>#DIV/0!</v>
      </c>
      <c r="AK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4145276.52</v>
      </c>
      <c r="E23" s="74" t="n">
        <f aca="false">SUM(E8:E22)</f>
        <v>5787481.25866667</v>
      </c>
      <c r="G23" s="74" t="n">
        <f aca="false">SUM(G8:G22)</f>
        <v>0</v>
      </c>
      <c r="H23" s="0" t="s">
        <v>153</v>
      </c>
      <c r="I23" s="49" t="n">
        <v>120000</v>
      </c>
      <c r="J23" s="0" t="n">
        <v>0</v>
      </c>
      <c r="K23" s="0" t="n">
        <f aca="false">I23*J23</f>
        <v>0</v>
      </c>
      <c r="O23" s="74" t="e">
        <f aca="false">SUM(O8:O22)</f>
        <v>#DIV/0!</v>
      </c>
      <c r="AK23" s="76"/>
    </row>
    <row r="24" customFormat="false" ht="12.75" hidden="false" customHeight="false" outlineLevel="0" collapsed="false">
      <c r="H24" s="0" t="s">
        <v>154</v>
      </c>
      <c r="I24" s="49" t="n">
        <v>156000</v>
      </c>
      <c r="J24" s="0" t="n">
        <v>0</v>
      </c>
      <c r="K24" s="0" t="n">
        <f aca="false">I24*J24</f>
        <v>0</v>
      </c>
      <c r="AK24" s="26"/>
    </row>
    <row r="25" customFormat="false" ht="12.75" hidden="false" customHeight="false" outlineLevel="0" collapsed="false">
      <c r="B25" s="73" t="s">
        <v>7</v>
      </c>
      <c r="C25" s="3"/>
      <c r="E25" s="101" t="n">
        <f aca="false">+'[9]Natural Gas'!E25+[9]Ontario!E25+[9]Finance!E25+[9]Executive!E25+[9]Alberta!E25</f>
        <v>30</v>
      </c>
      <c r="G25" s="101" t="n">
        <f aca="false">SUM(J16:J20,J23:J27)</f>
        <v>0</v>
      </c>
      <c r="H25" s="0" t="s">
        <v>155</v>
      </c>
      <c r="I25" s="49" t="n">
        <v>180000</v>
      </c>
      <c r="J25" s="0" t="n">
        <v>0</v>
      </c>
      <c r="K25" s="0" t="n">
        <f aca="false">I25*J25</f>
        <v>0</v>
      </c>
      <c r="O25" s="77" t="n">
        <f aca="false">SUM(U16:U20,U23:U27)</f>
        <v>0</v>
      </c>
      <c r="AK25" s="64"/>
    </row>
    <row r="26" customFormat="false" ht="12.75" hidden="false" customHeight="false" outlineLevel="0" collapsed="false">
      <c r="C26" s="64"/>
      <c r="E26" s="63"/>
      <c r="G26" s="63"/>
      <c r="H26" s="0" t="s">
        <v>156</v>
      </c>
      <c r="I26" s="49" t="n">
        <v>216000</v>
      </c>
      <c r="J26" s="0" t="n">
        <v>0</v>
      </c>
      <c r="K26" s="0" t="n">
        <f aca="false">I26*J26</f>
        <v>0</v>
      </c>
      <c r="O26" s="64"/>
      <c r="AK26" s="64"/>
    </row>
    <row r="27" customFormat="false" ht="12.75" hidden="false" customHeight="false" outlineLevel="0" collapsed="false">
      <c r="B27" s="73" t="s">
        <v>198</v>
      </c>
      <c r="C27" s="64"/>
      <c r="E27" s="101" t="n">
        <f aca="false">+'[9]Natural Gas'!E27+[9]Ontario!E27+[9]Finance!E27+[9]Executive!E27+[9]Alberta!E27</f>
        <v>20</v>
      </c>
      <c r="G27" s="101" t="n">
        <f aca="false">SUM(J21:J22)</f>
        <v>0</v>
      </c>
      <c r="H27" s="0" t="s">
        <v>212</v>
      </c>
      <c r="I27" s="49" t="n">
        <v>240000</v>
      </c>
      <c r="J27" s="0" t="n">
        <v>0</v>
      </c>
      <c r="K27" s="0" t="n">
        <f aca="false">I27*J27</f>
        <v>0</v>
      </c>
      <c r="O27" s="77" t="n">
        <f aca="false">+U21+U22</f>
        <v>0</v>
      </c>
      <c r="AK27" s="6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50</v>
      </c>
      <c r="F29" s="64"/>
      <c r="G29" s="77" t="n">
        <f aca="false">+G27+G25</f>
        <v>0</v>
      </c>
      <c r="H29" s="66"/>
      <c r="O29" s="77" t="n">
        <v>1</v>
      </c>
      <c r="AK29" s="64"/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214</v>
      </c>
      <c r="C31" s="64"/>
      <c r="E31" s="64"/>
      <c r="G31" s="16" t="s">
        <v>160</v>
      </c>
      <c r="H31" s="49"/>
      <c r="J31" s="49"/>
    </row>
    <row r="32" customFormat="false" ht="12.75" hidden="true" customHeight="false" outlineLevel="0" collapsed="false">
      <c r="A32" s="62" t="s">
        <v>215</v>
      </c>
      <c r="B32" s="63"/>
      <c r="C32" s="64"/>
      <c r="E32" s="64"/>
      <c r="H32" s="49"/>
      <c r="J32" s="49"/>
    </row>
    <row r="33" customFormat="false" ht="12.75" hidden="true" customHeight="false" outlineLevel="0" collapsed="false">
      <c r="A33" s="62" t="s">
        <v>216</v>
      </c>
      <c r="B33" s="63"/>
      <c r="C33" s="64"/>
      <c r="E33" s="64"/>
      <c r="G33" s="79" t="s">
        <v>161</v>
      </c>
      <c r="H33" s="80" t="s">
        <v>162</v>
      </c>
      <c r="I33" s="80" t="s">
        <v>163</v>
      </c>
      <c r="J33" s="80" t="s">
        <v>106</v>
      </c>
      <c r="K33" s="80" t="s">
        <v>164</v>
      </c>
    </row>
    <row r="34" customFormat="false" ht="12.75" hidden="true" customHeight="false" outlineLevel="0" collapsed="false">
      <c r="A34" s="62" t="s">
        <v>217</v>
      </c>
      <c r="B34" s="63"/>
      <c r="C34" s="64"/>
      <c r="E34" s="64"/>
      <c r="G34" s="81" t="n">
        <f aca="false">SUM(E12:E22)</f>
        <v>1562675.392</v>
      </c>
      <c r="H34" s="80" t="n">
        <f aca="false">+E29</f>
        <v>50</v>
      </c>
      <c r="I34" s="80" t="n">
        <f aca="false">+G34/H34</f>
        <v>31253.50784</v>
      </c>
      <c r="J34" s="80" t="n">
        <f aca="false">+J11</f>
        <v>0</v>
      </c>
      <c r="K34" s="80" t="n">
        <f aca="false">+I34*J34</f>
        <v>0</v>
      </c>
    </row>
    <row r="35" customFormat="false" ht="12.75" hidden="true" customHeight="false" outlineLevel="0" collapsed="false">
      <c r="A35" s="62" t="s">
        <v>218</v>
      </c>
      <c r="B35" s="63"/>
      <c r="C35" s="64"/>
      <c r="E35" s="64"/>
    </row>
    <row r="36" customFormat="false" ht="12.75" hidden="true" customHeight="false" outlineLevel="0" collapsed="false">
      <c r="A36" s="62" t="s">
        <v>219</v>
      </c>
      <c r="B36" s="63"/>
      <c r="C36" s="64"/>
      <c r="E36" s="64"/>
    </row>
    <row r="37" customFormat="false" ht="12.75" hidden="true" customHeight="false" outlineLevel="0" collapsed="false">
      <c r="A37" s="62" t="s">
        <v>220</v>
      </c>
      <c r="B37" s="63"/>
      <c r="C37" s="64"/>
      <c r="E37" s="64"/>
    </row>
    <row r="38" customFormat="false" ht="12.75" hidden="true" customHeight="false" outlineLevel="0" collapsed="false">
      <c r="A38" s="62" t="s">
        <v>221</v>
      </c>
      <c r="B38" s="63"/>
      <c r="C38" s="64"/>
      <c r="E38" s="64"/>
    </row>
    <row r="39" customFormat="false" ht="12.75" hidden="true" customHeight="false" outlineLevel="0" collapsed="false">
      <c r="B39" s="63"/>
      <c r="C39" s="64"/>
      <c r="E39" s="64"/>
    </row>
    <row r="40" customFormat="false" ht="12.75" hidden="true" customHeight="false" outlineLevel="0" collapsed="false">
      <c r="B40" s="63"/>
      <c r="C40" s="64"/>
      <c r="E40" s="64"/>
    </row>
    <row r="41" customFormat="false" ht="12.75" hidden="true" customHeight="false" outlineLevel="0" collapsed="false">
      <c r="B41" s="63"/>
      <c r="C41" s="64"/>
      <c r="E41" s="6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50" t="str">
        <f aca="false">'[11]Team Report'!B1</f>
        <v>Enron North America</v>
      </c>
      <c r="C1" s="50"/>
      <c r="D1" s="50"/>
      <c r="E1" s="50"/>
      <c r="F1" s="50"/>
      <c r="G1" s="50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44</v>
      </c>
      <c r="C2" s="50"/>
      <c r="D2" s="50"/>
      <c r="E2" s="50"/>
      <c r="F2" s="50"/>
      <c r="G2" s="50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85"/>
      <c r="J4" s="86"/>
      <c r="K4" s="86"/>
      <c r="L4" s="87"/>
    </row>
    <row r="5" customFormat="false" ht="12.75" hidden="false" customHeight="false" outlineLevel="0" collapsed="false">
      <c r="I5" s="88"/>
      <c r="J5" s="26" t="s">
        <v>105</v>
      </c>
      <c r="K5" s="26" t="s">
        <v>106</v>
      </c>
      <c r="L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110</v>
      </c>
      <c r="I6" s="88"/>
      <c r="J6" s="26"/>
      <c r="K6" s="26"/>
      <c r="L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I7" s="88"/>
      <c r="J7" s="26"/>
      <c r="K7" s="26"/>
      <c r="L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'[11]Team Report'!BA25</f>
        <v>10228335.79</v>
      </c>
      <c r="E8" s="64" t="n">
        <f aca="false">(C8/9)*12</f>
        <v>13637781.0533333</v>
      </c>
      <c r="G8" s="64" t="n">
        <f aca="false">(L28+46200)*1.2</f>
        <v>2034000</v>
      </c>
      <c r="I8" s="88" t="s">
        <v>116</v>
      </c>
      <c r="J8" s="49" t="n">
        <v>0</v>
      </c>
      <c r="K8" s="26"/>
      <c r="L8" s="92" t="n">
        <f aca="false">L28*1.2</f>
        <v>1978560</v>
      </c>
      <c r="O8" s="64" t="n">
        <f aca="false">+G8/$G$29*$O$29</f>
        <v>203400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G9" s="64" t="n">
        <v>0</v>
      </c>
      <c r="I9" s="88"/>
      <c r="J9" s="26"/>
      <c r="K9" s="26"/>
      <c r="L9" s="89"/>
      <c r="O9" s="64" t="n">
        <f aca="false">+G9/$G$29*$O$29</f>
        <v>0</v>
      </c>
    </row>
    <row r="10" customFormat="false" ht="12.75" hidden="tru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G10" s="64" t="n">
        <v>0</v>
      </c>
      <c r="I10" s="88"/>
      <c r="J10" s="26"/>
      <c r="K10" s="26"/>
      <c r="L10" s="8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'[11]Team Report'!BA26</f>
        <v>1877442.13</v>
      </c>
      <c r="E11" s="64" t="n">
        <f aca="false">(C11/9)*12</f>
        <v>2503256.17333333</v>
      </c>
      <c r="G11" s="64" t="n">
        <f aca="false">(L32-L28+9240)*1.2</f>
        <v>406800</v>
      </c>
      <c r="I11" s="88" t="s">
        <v>78</v>
      </c>
      <c r="J11" s="80" t="n">
        <f aca="false">(E12+E13+E14+E15+E16+E17+E18+E19+E20+E21+E22)/E29</f>
        <v>22231.7342942943</v>
      </c>
      <c r="K11" s="26" t="n">
        <f aca="false">K28</f>
        <v>10</v>
      </c>
      <c r="L11" s="92" t="n">
        <f aca="false">J11*K11</f>
        <v>222317.342942943</v>
      </c>
      <c r="O11" s="64" t="n">
        <f aca="false">+G11/$G$29*$O$29</f>
        <v>40680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'[11]Team Report'!BA27</f>
        <v>405632.98</v>
      </c>
      <c r="E12" s="64" t="n">
        <f aca="false">(C12/9)*12</f>
        <v>540843.973333333</v>
      </c>
      <c r="G12" s="64" t="n">
        <f aca="false">((E12/$E$29)*$K$11+51275)*1.2</f>
        <v>119999.618738739</v>
      </c>
      <c r="I12" s="88"/>
      <c r="J12" s="26"/>
      <c r="K12" s="26"/>
      <c r="L12" s="89"/>
      <c r="O12" s="64" t="n">
        <f aca="false">+G12/$G$29*$O$29</f>
        <v>11999.9618738739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'[11]Team Report'!BA28</f>
        <v>648740.17</v>
      </c>
      <c r="E13" s="64" t="n">
        <f aca="false">(C13/9)*12</f>
        <v>864986.893333333</v>
      </c>
      <c r="G13" s="64" t="n">
        <f aca="false">((E13/$E$29)*$K$11+522073)*1.2</f>
        <v>719999.696576576</v>
      </c>
      <c r="I13" s="93" t="s">
        <v>125</v>
      </c>
      <c r="J13" s="94"/>
      <c r="K13" s="94"/>
      <c r="L13" s="95" t="n">
        <f aca="false">L8+L11</f>
        <v>2200877.34294294</v>
      </c>
      <c r="N13" s="0" t="n">
        <v>1893527</v>
      </c>
      <c r="O13" s="64" t="n">
        <f aca="false">+G13/$G$29*$O$29</f>
        <v>71999.9696576576</v>
      </c>
      <c r="P13" s="66" t="n">
        <f aca="false">N13-L13</f>
        <v>-307350.342942943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G14" s="64" t="n">
        <v>4200000</v>
      </c>
      <c r="J14" s="0"/>
      <c r="K14" s="0"/>
      <c r="L14" s="0"/>
      <c r="O14" s="64" t="n">
        <f aca="false">+G14/$G$29*$O$29</f>
        <v>420000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'[11]Team Report'!BA33</f>
        <v>76876.32</v>
      </c>
      <c r="E15" s="64" t="n">
        <f aca="false">(C15/9)*12-25000</f>
        <v>77501.76</v>
      </c>
      <c r="G15" s="64" t="n">
        <f aca="false">((E15/$E$29)*$K$11)*1.2</f>
        <v>8378.56864864865</v>
      </c>
      <c r="J15" s="0"/>
      <c r="K15" s="0"/>
      <c r="L15" s="0"/>
      <c r="O15" s="64" t="n">
        <f aca="false">+G15/$G$29*$O$29</f>
        <v>837.856864864865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'[11]Team Report'!BA34</f>
        <v>0</v>
      </c>
      <c r="E16" s="64" t="n">
        <f aca="false">(C16/9)*12</f>
        <v>0</v>
      </c>
      <c r="G16" s="64" t="n">
        <f aca="false">((E16/$E$29)*$K$11)*1.2</f>
        <v>0</v>
      </c>
      <c r="I16" s="0" t="s">
        <v>197</v>
      </c>
      <c r="J16" s="49" t="n">
        <v>28000</v>
      </c>
      <c r="K16" s="0" t="n">
        <v>0</v>
      </c>
      <c r="L16" s="49" t="n">
        <f aca="false">J16*K16</f>
        <v>0</v>
      </c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'[11]Team Report'!BA35</f>
        <v>0</v>
      </c>
      <c r="E17" s="64" t="n">
        <f aca="false">(C17/9)*12</f>
        <v>0</v>
      </c>
      <c r="G17" s="64" t="n">
        <f aca="false">((E17/$E$29)*$K$11)*1.2</f>
        <v>0</v>
      </c>
      <c r="I17" s="0" t="s">
        <v>135</v>
      </c>
      <c r="J17" s="49" t="n">
        <v>36000</v>
      </c>
      <c r="K17" s="0" t="n">
        <v>0</v>
      </c>
      <c r="L17" s="49" t="n">
        <f aca="false">J17*K17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'[11]Team Report'!BA36</f>
        <v>5744.1</v>
      </c>
      <c r="E18" s="64" t="n">
        <f aca="false">(C18/9)*12</f>
        <v>7658.8</v>
      </c>
      <c r="G18" s="64" t="n">
        <f aca="false">((E18/$E$29)*$K$11+49310)*1.2</f>
        <v>59999.9783783784</v>
      </c>
      <c r="I18" s="0" t="s">
        <v>246</v>
      </c>
      <c r="J18" s="49" t="n">
        <v>48000</v>
      </c>
      <c r="K18" s="0" t="n">
        <v>0</v>
      </c>
      <c r="L18" s="49" t="n">
        <f aca="false">J18*K18</f>
        <v>0</v>
      </c>
      <c r="O18" s="64" t="n">
        <f aca="false">+G18/$G$29*$O$29</f>
        <v>5999.99783783784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'[11]Team Report'!BA37</f>
        <v>67058.6</v>
      </c>
      <c r="E19" s="64" t="n">
        <f aca="false">(C19/9)*12-25000</f>
        <v>64411.4666666666</v>
      </c>
      <c r="G19" s="64" t="n">
        <f aca="false">((E19/$E$29)*$K$11)*1.2</f>
        <v>6963.4018018018</v>
      </c>
      <c r="I19" s="0" t="s">
        <v>141</v>
      </c>
      <c r="J19" s="49" t="n">
        <v>52500</v>
      </c>
      <c r="K19" s="0" t="n">
        <v>0</v>
      </c>
      <c r="L19" s="49" t="n">
        <f aca="false">J19*K19</f>
        <v>0</v>
      </c>
      <c r="O19" s="64" t="n">
        <f aca="false">+G19/$G$29*$O$29</f>
        <v>696.34018018018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'[11]Team Report'!BA38</f>
        <v>0</v>
      </c>
      <c r="E20" s="64" t="n">
        <f aca="false">(C20/9)*12</f>
        <v>0</v>
      </c>
      <c r="G20" s="64" t="n">
        <f aca="false">((E20/$E$29)*$K$11)*1.2</f>
        <v>0</v>
      </c>
      <c r="I20" s="0" t="s">
        <v>144</v>
      </c>
      <c r="J20" s="49" t="n">
        <v>65000</v>
      </c>
      <c r="K20" s="0" t="n">
        <v>0</v>
      </c>
      <c r="L20" s="49" t="n">
        <f aca="false">J20*K20</f>
        <v>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'[11]Team Report'!BA42</f>
        <v>842429.76</v>
      </c>
      <c r="E21" s="64" t="n">
        <f aca="false">(C21/9)*12-200000-19525</f>
        <v>903714.68</v>
      </c>
      <c r="G21" s="64" t="n">
        <f aca="false">((E21/$E$29)*$K$11)*1.2</f>
        <v>97698.8843243244</v>
      </c>
      <c r="I21" s="0" t="s">
        <v>147</v>
      </c>
      <c r="J21" s="49" t="n">
        <v>55000</v>
      </c>
      <c r="K21" s="0" t="n">
        <v>0</v>
      </c>
      <c r="L21" s="49" t="n">
        <f aca="false">J21*K21</f>
        <v>0</v>
      </c>
      <c r="O21" s="64" t="n">
        <f aca="false">+G21/$G$29*$O$29</f>
        <v>9769.88843243244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'[11]Team Report'!BA44</f>
        <v>6453.7</v>
      </c>
      <c r="E22" s="64" t="n">
        <f aca="false">(C22/9)*12</f>
        <v>8604.93333333333</v>
      </c>
      <c r="G22" s="64" t="n">
        <f aca="false">((E22/$E$29)*$K$11)*1.2</f>
        <v>930.263063063063</v>
      </c>
      <c r="I22" s="0" t="s">
        <v>150</v>
      </c>
      <c r="J22" s="49" t="n">
        <v>81000</v>
      </c>
      <c r="K22" s="0" t="n">
        <v>0</v>
      </c>
      <c r="L22" s="49" t="n">
        <f aca="false">J22*K22</f>
        <v>0</v>
      </c>
      <c r="O22" s="64" t="n">
        <f aca="false">+G22/$G$29*$O$29</f>
        <v>93.0263063063063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18608759.7333333</v>
      </c>
      <c r="G23" s="74" t="n">
        <f aca="false">SUM(G8:G22)</f>
        <v>7654770.41153153</v>
      </c>
      <c r="I23" s="0" t="s">
        <v>153</v>
      </c>
      <c r="J23" s="49" t="n">
        <f aca="false">80000</f>
        <v>80000</v>
      </c>
      <c r="K23" s="0" t="n">
        <v>1</v>
      </c>
      <c r="L23" s="49" t="n">
        <f aca="false">J23*K23</f>
        <v>80000</v>
      </c>
      <c r="O23" s="74" t="n">
        <f aca="false">SUM(O8:O22)</f>
        <v>765477.041153153</v>
      </c>
    </row>
    <row r="24" customFormat="false" ht="12.75" hidden="false" customHeight="false" outlineLevel="0" collapsed="false">
      <c r="I24" s="0" t="s">
        <v>154</v>
      </c>
      <c r="J24" s="49" t="n">
        <f aca="false">115000*1.2</f>
        <v>138000</v>
      </c>
      <c r="K24" s="0" t="n">
        <v>3</v>
      </c>
      <c r="L24" s="49" t="n">
        <f aca="false">J24*K24</f>
        <v>414000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G25" s="107" t="n">
        <f aca="false">+K28</f>
        <v>10</v>
      </c>
      <c r="I25" s="0" t="s">
        <v>155</v>
      </c>
      <c r="J25" s="49" t="n">
        <f aca="false">140000</f>
        <v>140000</v>
      </c>
      <c r="K25" s="0" t="n">
        <v>4</v>
      </c>
      <c r="L25" s="49" t="n">
        <f aca="false">J25*K25</f>
        <v>560000</v>
      </c>
      <c r="O25" s="77" t="n">
        <f aca="false">SUM(U16:U20,U23:U27)</f>
        <v>0</v>
      </c>
    </row>
    <row r="26" customFormat="false" ht="12.75" hidden="false" customHeight="false" outlineLevel="0" collapsed="false">
      <c r="I26" s="0" t="s">
        <v>156</v>
      </c>
      <c r="J26" s="49" t="n">
        <f aca="false">160000</f>
        <v>160000</v>
      </c>
      <c r="K26" s="0" t="n">
        <v>2</v>
      </c>
      <c r="L26" s="49" t="n">
        <f aca="false">J26*K26</f>
        <v>320000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G27" s="107"/>
      <c r="I27" s="0" t="s">
        <v>158</v>
      </c>
      <c r="J27" s="49" t="n">
        <f aca="false">288000</f>
        <v>288000</v>
      </c>
      <c r="K27" s="0" t="n">
        <v>0</v>
      </c>
      <c r="L27" s="49" t="n">
        <f aca="false">J27*K27</f>
        <v>0</v>
      </c>
      <c r="O27" s="77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49" t="n">
        <f aca="false">SUM(L16:L27)*1.2</f>
        <v>1648800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G29" s="107" t="n">
        <f aca="false">SUM(G25:G28)</f>
        <v>10</v>
      </c>
      <c r="O29" s="77" t="n">
        <v>1</v>
      </c>
    </row>
    <row r="30" customFormat="false" ht="12.75" hidden="false" customHeight="false" outlineLevel="0" collapsed="false">
      <c r="B30" s="73"/>
      <c r="I30" s="0" t="s">
        <v>247</v>
      </c>
      <c r="L30" s="78" t="n">
        <v>0.2</v>
      </c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'[11]Team Report'!BA29</f>
        <v>-24140467.68</v>
      </c>
      <c r="E31" s="64" t="n">
        <f aca="false">(C31/9)*12</f>
        <v>-32187290.24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'[11]Team Report'!BA30</f>
        <v>0</v>
      </c>
      <c r="E32" s="64" t="n">
        <f aca="false">(C32/9)*12</f>
        <v>0</v>
      </c>
      <c r="L32" s="49" t="n">
        <f aca="false">L28*1.2</f>
        <v>1978560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'[11]Team Report'!BA31</f>
        <v>0</v>
      </c>
      <c r="E33" s="64" t="n">
        <f aca="false">(C33/9)*12</f>
        <v>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'[11]Team Report'!BA39</f>
        <v>0</v>
      </c>
      <c r="E34" s="64" t="n">
        <f aca="false">(C34/9)*12</f>
        <v>0</v>
      </c>
      <c r="I34" s="16" t="s">
        <v>160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'[11]Team Report'!BA40</f>
        <v>164920.93</v>
      </c>
      <c r="E35" s="64" t="n">
        <f aca="false">(C35/9)*12</f>
        <v>219894.573333333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'[11]Team Report'!BA41</f>
        <v>945381.27</v>
      </c>
      <c r="E36" s="64" t="n">
        <f aca="false">(C36/9)*12</f>
        <v>1260508.36</v>
      </c>
      <c r="I36" s="79" t="s">
        <v>248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'[11]Team Report'!BA43</f>
        <v>-5121278.52</v>
      </c>
      <c r="E37" s="64" t="n">
        <f aca="false">(C37/9)*12</f>
        <v>-6828371.36</v>
      </c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'[11]Team Report'!BA45</f>
        <v>0</v>
      </c>
      <c r="E38" s="64" t="n">
        <f aca="false">(C38/9)*12</f>
        <v>0</v>
      </c>
      <c r="L38" s="0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32191701.9066667</v>
      </c>
      <c r="J39" s="80"/>
      <c r="K39" s="80"/>
      <c r="L39" s="0"/>
      <c r="M39" s="80"/>
    </row>
    <row r="40" customFormat="false" ht="12.75" hidden="true" customHeight="false" outlineLevel="0" collapsed="false">
      <c r="H40" s="81"/>
      <c r="I40" s="109"/>
      <c r="J40" s="80"/>
      <c r="K40" s="80"/>
      <c r="L40" s="80"/>
      <c r="M40" s="4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249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(+'Competitive Ana'!F8+'Gas - Fund'!H8+'East - Fund'!F8+'West - Fund'!G8)*1.2</f>
        <v>2173656</v>
      </c>
      <c r="I8" s="58" t="s">
        <v>116</v>
      </c>
      <c r="J8" s="49" t="n">
        <v>0</v>
      </c>
      <c r="L8" s="59" t="n">
        <f aca="false">L30</f>
        <v>2208096</v>
      </c>
      <c r="Q8" s="64" t="n">
        <f aca="false">+H8/$H$29*$Q$29</f>
        <v>65868.3636363636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f aca="false">(+'Competitive Ana'!F9+'Gas - Fund'!H9+'East - Fund'!F9+'West - Fund'!G9)*1.2</f>
        <v>0</v>
      </c>
      <c r="I9" s="58"/>
      <c r="L9" s="59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(+'Competitive Ana'!F10+'Gas - Fund'!H10+'East - Fund'!F10+'West - Fund'!G10)*1.2</f>
        <v>1523400</v>
      </c>
      <c r="I10" s="58"/>
      <c r="L10" s="59"/>
      <c r="Q10" s="64" t="n">
        <f aca="false">+H10/$H$29*$Q$29</f>
        <v>46163.6363636364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(+'Competitive Ana'!F11+'Gas - Fund'!H11+'East - Fund'!F11+'West - Fund'!G11)*1.2</f>
        <v>739411.2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17</v>
      </c>
      <c r="L11" s="59" t="n">
        <f aca="false">J11*K11</f>
        <v>820593.08125</v>
      </c>
      <c r="Q11" s="64" t="n">
        <f aca="false">+H11/$H$29*$Q$29</f>
        <v>22406.4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(+'Competitive Ana'!F12+'Gas - Fund'!H12+'East - Fund'!F12+'West - Fund'!G12)*1.2</f>
        <v>215440.175009118</v>
      </c>
      <c r="I12" s="58"/>
      <c r="L12" s="59"/>
      <c r="Q12" s="64" t="n">
        <f aca="false">+H12/$H$29*$Q$29</f>
        <v>6528.49015179147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(+'Competitive Ana'!F13+'Gas - Fund'!H13+'East - Fund'!F13+'West - Fund'!G13)*1.2</f>
        <v>288688.558648632</v>
      </c>
      <c r="I13" s="69" t="s">
        <v>125</v>
      </c>
      <c r="J13" s="70"/>
      <c r="K13" s="70"/>
      <c r="L13" s="71" t="n">
        <f aca="false">L8+L11</f>
        <v>3028689.08125</v>
      </c>
      <c r="N13" s="49" t="n">
        <v>24109311.029375</v>
      </c>
      <c r="P13" s="66" t="n">
        <f aca="false">N13-L13</f>
        <v>21080621.948125</v>
      </c>
      <c r="Q13" s="64" t="n">
        <f aca="false">+H13/$H$29*$Q$29</f>
        <v>8748.13814086764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(+'Competitive Ana'!F14+'Gas - Fund'!H14+'East - Fund'!F14+'West - Fund'!G14)*1.2</f>
        <v>2442720.01131429</v>
      </c>
      <c r="Q14" s="64" t="n">
        <f aca="false">+H14/$H$29*$Q$29</f>
        <v>74021.8185246753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(+'Competitive Ana'!F15+'Gas - Fund'!H15+'East - Fund'!F15+'West - Fund'!G15)*1.2</f>
        <v>55554.8471179331</v>
      </c>
      <c r="Q15" s="64" t="n">
        <f aca="false">+H15/$H$29*$Q$29</f>
        <v>1683.48021569494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(+'Competitive Ana'!F16+'Gas - Fund'!H16+'East - Fund'!F16+'West - Fund'!G16)*1.2</f>
        <v>0</v>
      </c>
      <c r="I16" s="49" t="s">
        <v>132</v>
      </c>
      <c r="J16" s="49" t="n">
        <v>33000</v>
      </c>
      <c r="K16" s="49" t="n">
        <v>1</v>
      </c>
      <c r="L16" s="49" t="n">
        <f aca="false">J16*K16</f>
        <v>33000</v>
      </c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(+'Competitive Ana'!F17+'Gas - Fund'!H17+'East - Fund'!F17+'West - Fund'!G17)*1.2</f>
        <v>1331.1914893617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 t="n">
        <f aca="false">+H17/$H$29*$Q$29</f>
        <v>40.3391360412637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(+'Competitive Ana'!F18+'Gas - Fund'!H18+'East - Fund'!F18+'West - Fund'!G18)*1.2</f>
        <v>22888.3123240122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 t="n">
        <f aca="false">+H18/$H$29*$Q$29</f>
        <v>693.585221939762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(+'Competitive Ana'!F19+'Gas - Fund'!H19+'East - Fund'!F19+'West - Fund'!G19)*1.2</f>
        <v>202255.366747652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 t="n">
        <f aca="false">+H19/$H$29*$Q$29</f>
        <v>6128.95050750461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(+'Competitive Ana'!F20+'Gas - Fund'!H20+'East - Fund'!F20+'West - Fund'!G20)*1.2</f>
        <v>12.6027653495441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 t="n">
        <f aca="false">+H20/$H$29*$Q$29</f>
        <v>0.381901980289214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(+'Competitive Ana'!F21+'Gas - Fund'!H21+'East - Fund'!F21+'West - Fund'!G21)*1.2</f>
        <v>232476.11244685</v>
      </c>
      <c r="I21" s="49" t="s">
        <v>147</v>
      </c>
      <c r="J21" s="49" t="n">
        <v>60500</v>
      </c>
      <c r="K21" s="49" t="n">
        <v>6</v>
      </c>
      <c r="L21" s="49" t="n">
        <f aca="false">J21*K21</f>
        <v>363000</v>
      </c>
      <c r="Q21" s="64" t="n">
        <f aca="false">+H21/$H$29*$Q$29</f>
        <v>7044.73068020756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(+'Competitive Ana'!F22+'Gas - Fund'!H22+'East - Fund'!F22+'West - Fund'!G22)*1.2</f>
        <v>169006.123398341</v>
      </c>
      <c r="I22" s="49" t="s">
        <v>150</v>
      </c>
      <c r="J22" s="49" t="n">
        <v>89100</v>
      </c>
      <c r="K22" s="49" t="n">
        <v>4</v>
      </c>
      <c r="L22" s="49" t="n">
        <f aca="false">J22*K22</f>
        <v>356400</v>
      </c>
      <c r="Q22" s="64" t="n">
        <f aca="false">+H22/$H$29*$Q$29</f>
        <v>5121.39767873759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8066840.50126153</v>
      </c>
      <c r="I23" s="49" t="s">
        <v>153</v>
      </c>
      <c r="J23" s="49" t="n">
        <v>110000</v>
      </c>
      <c r="K23" s="49" t="n">
        <v>4</v>
      </c>
      <c r="L23" s="49" t="n">
        <f aca="false">J23*K23</f>
        <v>440000</v>
      </c>
      <c r="Q23" s="74" t="n">
        <f aca="false">SUM(Q8:Q22)</f>
        <v>244449.71215944</v>
      </c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+'Competitive Ana'!F25+'Gas - Fund'!H25+'East - Fund'!F25+'West - Fund'!G25</f>
        <v>16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+'Competitive Ana'!F27+'Gas - Fund'!H27+'East - Fund'!F27+'West - Fund'!G27</f>
        <v>17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49" t="n">
        <f aca="false">SUM(K16:K27)</f>
        <v>17</v>
      </c>
      <c r="L28" s="49" t="n">
        <f aca="false">SUM(L16:L27)*1.2</f>
        <v>1840080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33</v>
      </c>
      <c r="L29" s="78" t="n">
        <v>0.2</v>
      </c>
      <c r="Q29" s="77" t="n">
        <v>1</v>
      </c>
    </row>
    <row r="30" customFormat="false" ht="12.75" hidden="true" customHeight="false" outlineLevel="0" collapsed="false">
      <c r="L30" s="49" t="n">
        <f aca="false">L28*1.2</f>
        <v>2208096</v>
      </c>
    </row>
    <row r="31" customFormat="false" ht="12.75" hidden="true" customHeight="false" outlineLevel="0" collapsed="false">
      <c r="H31" s="16" t="s">
        <v>160</v>
      </c>
      <c r="L31" s="0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17</v>
      </c>
      <c r="L34" s="80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20.99"/>
    <col collapsed="false" customWidth="true" hidden="false" outlineLevel="0" max="15" min="15" style="0" width="18.99"/>
    <col collapsed="false" customWidth="true" hidden="false" outlineLevel="0" max="16" min="16" style="0" width="28.41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166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(L28-H10)*1.2</f>
        <v>1275120</v>
      </c>
      <c r="I8" s="58" t="s">
        <v>116</v>
      </c>
      <c r="J8" s="49" t="n">
        <v>0</v>
      </c>
      <c r="L8" s="59" t="n">
        <f aca="false">L30</f>
        <v>1275120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(L30-L28)</f>
        <v>212520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7</v>
      </c>
      <c r="L11" s="59" t="n">
        <f aca="false">J11*K11</f>
        <v>337891.26875</v>
      </c>
      <c r="N11" s="67"/>
      <c r="O11" s="67"/>
      <c r="P11" s="67"/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((E12/$E$29)*$K$11)*1.2</f>
        <v>51764.7795</v>
      </c>
      <c r="I12" s="58"/>
      <c r="L12" s="59"/>
      <c r="N12" s="67"/>
      <c r="O12" s="67"/>
      <c r="P12" s="67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18000</v>
      </c>
      <c r="I13" s="69" t="s">
        <v>125</v>
      </c>
      <c r="J13" s="70"/>
      <c r="K13" s="70"/>
      <c r="L13" s="71" t="n">
        <f aca="false">L8+L11</f>
        <v>1613011.26875</v>
      </c>
      <c r="N13" s="67"/>
      <c r="O13" s="67"/>
      <c r="P13" s="67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((E14/$E$29)*$K$11)*1.2</f>
        <v>0.0168000000013853</v>
      </c>
      <c r="N14" s="67"/>
      <c r="O14" s="67"/>
      <c r="P14" s="67"/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((E15/$E$29)*$K$11)*1.2</f>
        <v>7319.41</v>
      </c>
      <c r="N15" s="67"/>
      <c r="O15" s="67"/>
      <c r="P15" s="67"/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/>
      <c r="O16" s="67"/>
      <c r="P16" s="67"/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((E17/$E$29)*$K$11)*1.2</f>
        <v>413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7"/>
      <c r="O17" s="67"/>
      <c r="P17" s="67"/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((E18/$E$29)*$K$11)*1.2</f>
        <v>7500.8444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7"/>
      <c r="O18" s="67"/>
      <c r="P18" s="67"/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((E19/$E$29)*$K$11)*1.2</f>
        <v>7644.7224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((E20/$E$29)*$K$11)*1.2</f>
        <v>1.12</v>
      </c>
      <c r="I20" s="49" t="s">
        <v>144</v>
      </c>
      <c r="J20" s="49" t="n">
        <v>71500</v>
      </c>
      <c r="K20" s="49" t="n">
        <v>1</v>
      </c>
      <c r="L20" s="49" t="n">
        <f aca="false">J20*K20</f>
        <v>71500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((E21/$E$29)*$K$11)*1.2</f>
        <v>9505.22369999999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1589789.1168</v>
      </c>
      <c r="I23" s="49" t="s">
        <v>153</v>
      </c>
      <c r="J23" s="49" t="n">
        <v>110000</v>
      </c>
      <c r="K23" s="49" t="n">
        <v>3</v>
      </c>
      <c r="L23" s="49" t="n">
        <f aca="false">J23*K23</f>
        <v>330000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2</v>
      </c>
      <c r="L24" s="49" t="n">
        <f aca="false">J24*K24</f>
        <v>286000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7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7</v>
      </c>
      <c r="L28" s="49" t="n">
        <f aca="false">SUM(L16:L27)*1.2</f>
        <v>1062600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7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1275120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7</v>
      </c>
      <c r="L34" s="80" t="n">
        <f aca="false">+J34*K34</f>
        <v>337891.26875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46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'[12]Executive Orig'!C8+[12]Trading!C8+[12]Origination!C8+'[12]Mid Market'!C8+[12]Services!C8+[12]Fundamentals!C8</f>
        <v>4789958.99</v>
      </c>
      <c r="E8" s="64" t="n">
        <f aca="false">(C8/9)*12</f>
        <v>6386611.98666667</v>
      </c>
      <c r="F8" s="64"/>
      <c r="G8" s="64" t="n">
        <f aca="false">(+'West - Struct'!G8+'Gas - Struct'!H8)*1.2</f>
        <v>714240</v>
      </c>
      <c r="H8" s="64"/>
      <c r="I8" s="91" t="n">
        <f aca="false">+G8/$G$23</f>
        <v>0.632869464970041</v>
      </c>
      <c r="K8" s="88" t="s">
        <v>116</v>
      </c>
      <c r="L8" s="49" t="n">
        <v>0</v>
      </c>
      <c r="M8" s="26" t="n">
        <f aca="false">+M11</f>
        <v>2</v>
      </c>
      <c r="N8" s="92" t="n">
        <f aca="false">N28</f>
        <v>260640</v>
      </c>
      <c r="O8" s="64" t="n">
        <f aca="false">+G8/$G$29*$O$29</f>
        <v>142848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'[12]Executive Orig'!C9+[12]Trading!C9+[12]Origination!C9+'[12]Mid Market'!C9+[12]Services!C9+[12]Fundamentals!C9</f>
        <v>1464000</v>
      </c>
      <c r="E9" s="64" t="n">
        <f aca="false">+C9</f>
        <v>1464000</v>
      </c>
      <c r="F9" s="64"/>
      <c r="G9" s="64" t="n">
        <f aca="false">(+'West - Struct'!G9+'Gas - Struct'!H9)*1.2</f>
        <v>0</v>
      </c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'[12]Executive Orig'!C10+[12]Trading!C10+[12]Origination!C10+'[12]Mid Market'!C10+[12]Services!C10+[12]Fundamentals!C10</f>
        <v>804567</v>
      </c>
      <c r="E10" s="64" t="n">
        <f aca="false">(C10/9)*12</f>
        <v>1072756</v>
      </c>
      <c r="F10" s="64"/>
      <c r="G10" s="64" t="n">
        <f aca="false">(+'West - Struct'!G10+'Gas - Struct'!H10)*1.2</f>
        <v>116640</v>
      </c>
      <c r="H10" s="64"/>
      <c r="I10" s="91" t="n">
        <f aca="false">+G10/$G$23</f>
        <v>0.103351666658414</v>
      </c>
      <c r="K10" s="88"/>
      <c r="L10" s="26"/>
      <c r="M10" s="26"/>
      <c r="N10" s="89"/>
      <c r="O10" s="64" t="n">
        <f aca="false">+G10/$G$29*$O$29</f>
        <v>23328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'[12]Executive Orig'!C11+[12]Trading!C11+[12]Origination!C11+'[12]Mid Market'!C11+[12]Services!C11+[12]Fundamentals!C11</f>
        <v>1096068.21</v>
      </c>
      <c r="E11" s="64" t="n">
        <f aca="false">(C11/9)*12</f>
        <v>1461424.28</v>
      </c>
      <c r="F11" s="64"/>
      <c r="G11" s="64" t="n">
        <f aca="false">(+'West - Struct'!G11+'Gas - Struct'!H11)*1.2</f>
        <v>166176</v>
      </c>
      <c r="H11" s="64"/>
      <c r="I11" s="91" t="n">
        <f aca="false">+G11/$G$23</f>
        <v>0.147244226325691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2</v>
      </c>
      <c r="N11" s="92" t="n">
        <f aca="false">L11*M11</f>
        <v>95067.7105617977</v>
      </c>
      <c r="O11" s="64" t="n">
        <f aca="false">+G11/$G$29*$O$29</f>
        <v>33235.2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'[12]Executive Orig'!C12+[12]Trading!C12+[12]Origination!C12+'[12]Mid Market'!C12+[12]Services!C12+[12]Fundamentals!C12</f>
        <v>658117.68</v>
      </c>
      <c r="E12" s="68" t="n">
        <f aca="false">((C12/9)*12)*1.2</f>
        <v>1052988.288</v>
      </c>
      <c r="F12" s="64"/>
      <c r="G12" s="64" t="n">
        <f aca="false">(+'West - Struct'!G12+'Gas - Struct'!H12)*1.2</f>
        <v>39464.9055</v>
      </c>
      <c r="H12" s="64"/>
      <c r="I12" s="91" t="n">
        <f aca="false">+G12/$G$23</f>
        <v>0.034968825085235</v>
      </c>
      <c r="K12" s="88"/>
      <c r="L12" s="26"/>
      <c r="M12" s="26"/>
      <c r="N12" s="89"/>
      <c r="O12" s="64" t="n">
        <f aca="false">+G12/$G$29*$O$29</f>
        <v>7892.9811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'[12]Executive Orig'!C13+[12]Trading!C13+[12]Origination!C13+'[12]Mid Market'!C13+[12]Services!C13+[12]Fundamentals!C13</f>
        <v>719773.8</v>
      </c>
      <c r="E13" s="68" t="n">
        <f aca="false">((C13/9)*12)*1.2</f>
        <v>1151638.08</v>
      </c>
      <c r="F13" s="64"/>
      <c r="G13" s="64" t="n">
        <f aca="false">(+'West - Struct'!G13+'Gas - Struct'!H13)*1.2</f>
        <v>53105.8449</v>
      </c>
      <c r="H13" s="64"/>
      <c r="I13" s="91" t="n">
        <f aca="false">+G13/$G$23</f>
        <v>0.0470557062733045</v>
      </c>
      <c r="K13" s="93" t="s">
        <v>125</v>
      </c>
      <c r="L13" s="94"/>
      <c r="M13" s="94"/>
      <c r="N13" s="95" t="n">
        <f aca="false">N8+N11</f>
        <v>355707.710561798</v>
      </c>
      <c r="O13" s="64" t="n">
        <f aca="false">+G13/$G$29*$O$29</f>
        <v>10621.16898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'[12]Executive Orig'!C14+[12]Trading!C14+[12]Origination!C14+'[12]Mid Market'!C14+[12]Services!C14+[12]Fundamentals!C14-C32</f>
        <v>0.239999999757856</v>
      </c>
      <c r="E14" s="68" t="n">
        <f aca="false">((C14/9)*12)*1.2</f>
        <v>0.38399999961257</v>
      </c>
      <c r="F14" s="64"/>
      <c r="G14" s="64" t="n">
        <f aca="false">(+'West - Struct'!G14+'Gas - Struct'!H14)*1.2</f>
        <v>0.0175550561699214</v>
      </c>
      <c r="H14" s="64"/>
      <c r="I14" s="91" t="n">
        <f aca="false">+G14/$G$23</f>
        <v>1.55550781330886E-008</v>
      </c>
      <c r="O14" s="64" t="n">
        <f aca="false">+G14/$G$29*$O$29</f>
        <v>0.00351101123398429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'[12]Executive Orig'!C15+[12]Trading!C15+[12]Origination!C15+'[12]Mid Market'!C15+[12]Services!C15+[12]Fundamentals!C15</f>
        <v>128890.14</v>
      </c>
      <c r="E15" s="68" t="n">
        <f aca="false">((C15/9)*12)*1.2</f>
        <v>206224.224</v>
      </c>
      <c r="F15" s="64"/>
      <c r="G15" s="64" t="n">
        <f aca="false">(+'West - Struct'!G15+'Gas - Struct'!H15)*1.2</f>
        <v>10048.89</v>
      </c>
      <c r="H15" s="64"/>
      <c r="I15" s="91" t="n">
        <f aca="false">+G15/$G$23</f>
        <v>0.0089040597528041</v>
      </c>
      <c r="O15" s="64" t="n">
        <f aca="false">+G15/$G$29*$O$29</f>
        <v>2009.778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'[12]Executive Orig'!C16+[12]Trading!C16+[12]Origination!C16+'[12]Mid Market'!C16+[12]Services!C16+[12]Fundamentals!C16</f>
        <v>0</v>
      </c>
      <c r="E16" s="68" t="n">
        <f aca="false">((C16/9)*12)*1.2</f>
        <v>0</v>
      </c>
      <c r="F16" s="64"/>
      <c r="G16" s="64" t="n">
        <f aca="false">(+'West - Struct'!G16+'Gas - Struct'!H16)*1.2</f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'[12]Executive Orig'!C17+[12]Trading!C17+[12]Origination!C17+'[12]Mid Market'!C17+[12]Services!C17+[12]Fundamentals!C17</f>
        <v>11300</v>
      </c>
      <c r="E17" s="68" t="n">
        <f aca="false">((C17/9)*12)*1.2</f>
        <v>18080</v>
      </c>
      <c r="F17" s="64"/>
      <c r="G17" s="64" t="n">
        <f aca="false">(+'West - Struct'!G17+'Gas - Struct'!H17)*1.2</f>
        <v>177</v>
      </c>
      <c r="H17" s="64"/>
      <c r="I17" s="91" t="n">
        <f aca="false">+G17/$G$23</f>
        <v>0.000156835090865392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35.4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'[12]Executive Orig'!C18+[12]Trading!C18+[12]Origination!C18+'[12]Mid Market'!C18+[12]Services!C18+[12]Fundamentals!C18</f>
        <v>327447.74</v>
      </c>
      <c r="E18" s="68" t="n">
        <f aca="false">((C18/9)*12)*1.2</f>
        <v>523916.384</v>
      </c>
      <c r="F18" s="64"/>
      <c r="G18" s="64" t="n">
        <f aca="false">(+'West - Struct'!G18+'Gas - Struct'!H18)*1.2</f>
        <v>5374.6476</v>
      </c>
      <c r="H18" s="64"/>
      <c r="I18" s="91" t="n">
        <f aca="false">+G18/$G$23</f>
        <v>0.0047623352808783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1074.92952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'[12]Executive Orig'!C19+[12]Trading!C19+[12]Origination!C19+'[12]Mid Market'!C19+[12]Services!C19+[12]Fundamentals!C19</f>
        <v>155845.37</v>
      </c>
      <c r="E19" s="68" t="n">
        <f aca="false">((C19/9)*12)*1.2</f>
        <v>249352.592</v>
      </c>
      <c r="F19" s="64"/>
      <c r="G19" s="64" t="n">
        <f aca="false">(+'West - Struct'!G19+'Gas - Struct'!H19)*1.2</f>
        <v>10000.4244404494</v>
      </c>
      <c r="H19" s="64"/>
      <c r="I19" s="91" t="n">
        <f aca="false">+G19/$G$23</f>
        <v>0.00886111568254447</v>
      </c>
      <c r="K19" s="0" t="s">
        <v>141</v>
      </c>
      <c r="L19" s="49" t="n">
        <v>63000</v>
      </c>
      <c r="M19" s="0" t="n">
        <v>0</v>
      </c>
      <c r="N19" s="49" t="n">
        <f aca="false">L19*M19</f>
        <v>0</v>
      </c>
      <c r="O19" s="64" t="n">
        <f aca="false">+G19/$G$29*$O$29</f>
        <v>2000.08488808989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'[12]Executive Orig'!C20+[12]Trading!C20+[12]Origination!C20+'[12]Mid Market'!C20+[12]Services!C20+[12]Fundamentals!C20</f>
        <v>116.15</v>
      </c>
      <c r="E20" s="68" t="n">
        <f aca="false">((C20/9)*12)*1.2</f>
        <v>185.84</v>
      </c>
      <c r="F20" s="64"/>
      <c r="G20" s="64" t="n">
        <f aca="false">(+'West - Struct'!G20+'Gas - Struct'!H20)*1.2</f>
        <v>5.49141573033708</v>
      </c>
      <c r="H20" s="64"/>
      <c r="I20" s="91" t="n">
        <f aca="false">+G20/$G$23</f>
        <v>4.86580048049184E-006</v>
      </c>
      <c r="K20" s="0" t="s">
        <v>144</v>
      </c>
      <c r="L20" s="49" t="n">
        <v>78000</v>
      </c>
      <c r="M20" s="0" t="n">
        <f aca="false">2-2</f>
        <v>0</v>
      </c>
      <c r="N20" s="49" t="n">
        <f aca="false">L20*M20</f>
        <v>0</v>
      </c>
      <c r="O20" s="64" t="n">
        <f aca="false">+G20/$G$29*$O$29</f>
        <v>1.09828314606742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'[12]Executive Orig'!C21+[12]Trading!C21+[12]Origination!C21+'[12]Mid Market'!C21+[12]Services!C21+[12]Fundamentals!C21</f>
        <v>566869.93</v>
      </c>
      <c r="E21" s="68" t="n">
        <f aca="false">((C21/9)*12)*1.2</f>
        <v>906991.888</v>
      </c>
      <c r="F21" s="64"/>
      <c r="G21" s="64" t="n">
        <f aca="false">(+'West - Struct'!G21+'Gas - Struct'!H21)*1.2</f>
        <v>10073.6673</v>
      </c>
      <c r="H21" s="64"/>
      <c r="I21" s="91" t="n">
        <f aca="false">+G21/$G$23</f>
        <v>0.00892601427312556</v>
      </c>
      <c r="K21" s="0" t="s">
        <v>147</v>
      </c>
      <c r="L21" s="49" t="n">
        <v>66000</v>
      </c>
      <c r="M21" s="0" t="n">
        <v>0</v>
      </c>
      <c r="N21" s="49" t="n">
        <f aca="false">L21*M21</f>
        <v>0</v>
      </c>
      <c r="O21" s="64" t="n">
        <f aca="false">+G21/$G$29*$O$29</f>
        <v>2014.73346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'[12]Executive Orig'!C22+[12]Trading!C22+[12]Origination!C22+'[12]Mid Market'!C22+[12]Services!C22+[12]Fundamentals!C22</f>
        <v>75709.65</v>
      </c>
      <c r="E22" s="68" t="n">
        <f aca="false">((C22/9)*12)*1.2</f>
        <v>121135.44</v>
      </c>
      <c r="F22" s="64"/>
      <c r="G22" s="64" t="n">
        <f aca="false">(+'West - Struct'!G22+'Gas - Struct'!H22)*1.2</f>
        <v>3267.0740629214</v>
      </c>
      <c r="H22" s="64"/>
      <c r="I22" s="91" t="n">
        <f aca="false">+G22/$G$23</f>
        <v>0.00289486925153809</v>
      </c>
      <c r="K22" s="0" t="s">
        <v>150</v>
      </c>
      <c r="L22" s="49" t="n">
        <v>97200</v>
      </c>
      <c r="M22" s="0" t="n">
        <v>1</v>
      </c>
      <c r="N22" s="49" t="n">
        <f aca="false">L22*M22</f>
        <v>97200</v>
      </c>
      <c r="O22" s="64" t="n">
        <f aca="false">+G22/$G$29*$O$29</f>
        <v>653.41481258428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f aca="false">SUM(G8:G22)</f>
        <v>1128573.96277416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1</v>
      </c>
      <c r="N23" s="49" t="n">
        <f aca="false">L23*M23</f>
        <v>120000</v>
      </c>
      <c r="O23" s="74" t="n">
        <f aca="false">SUM(O8:O22)</f>
        <v>225714.792554831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f aca="false">1-1</f>
        <v>0</v>
      </c>
      <c r="N24" s="49" t="n">
        <f aca="false">L24*M24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'[12]Executive Orig'!E25+[12]Trading!E25+[12]Origination!E25+'[12]Mid Market'!E25+[12]Services!E25+[12]Fundamentals!E25</f>
        <v>74</v>
      </c>
      <c r="F25" s="64"/>
      <c r="G25" s="77" t="n">
        <f aca="false">+'West - Struct'!G25+'Gas - Struct'!H25</f>
        <v>4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v>1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0</v>
      </c>
      <c r="N26" s="49" t="n">
        <f aca="false">L26*M26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'[12]Executive Orig'!E27+[12]Trading!E27+[12]Origination!E27+'[12]Mid Market'!E27+[12]Services!E27+[12]Fundamentals!E27</f>
        <v>15</v>
      </c>
      <c r="F27" s="64"/>
      <c r="G27" s="77" t="n">
        <f aca="false">+'West - Struct'!G27+'Gas - Struct'!H27</f>
        <v>1</v>
      </c>
      <c r="H27" s="64"/>
      <c r="K27" s="0" t="s">
        <v>158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49" t="n">
        <f aca="false">SUM(N16:N27)*1.2</f>
        <v>260640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f aca="false">+G27+G25</f>
        <v>5</v>
      </c>
      <c r="H29" s="64"/>
      <c r="I29" s="49"/>
      <c r="O29" s="77" t="n">
        <f aca="false">+O27+O25</f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2</v>
      </c>
      <c r="N34" s="80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47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(L28-H10)*1.2</f>
        <v>863280</v>
      </c>
      <c r="I8" s="58" t="s">
        <v>116</v>
      </c>
      <c r="J8" s="49" t="n">
        <v>0</v>
      </c>
      <c r="L8" s="59" t="n">
        <f aca="false">L30</f>
        <v>863280</v>
      </c>
      <c r="Q8" s="64" t="n">
        <f aca="false">+H8/$H$29*$Q$29</f>
        <v>172656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 t="n">
        <f aca="false">+H10/$H$29*$Q$29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(L30-L28)*1.2</f>
        <v>172656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5</v>
      </c>
      <c r="L11" s="59" t="n">
        <f aca="false">J11*K11</f>
        <v>241350.90625</v>
      </c>
      <c r="Q11" s="64" t="n">
        <f aca="false">+H11/$H$29*$Q$29</f>
        <v>34531.2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((E12/$E$29)*$K$11)*1.2</f>
        <v>36974.8425</v>
      </c>
      <c r="I12" s="58"/>
      <c r="L12" s="59"/>
      <c r="Q12" s="64" t="n">
        <f aca="false">+H12/$H$29*$Q$29</f>
        <v>7394.9685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((E13/$E$29)*$K$11)*1.2</f>
        <v>32909.7415</v>
      </c>
      <c r="I13" s="69" t="s">
        <v>125</v>
      </c>
      <c r="J13" s="70"/>
      <c r="K13" s="70"/>
      <c r="L13" s="71" t="n">
        <f aca="false">L8+L11</f>
        <v>1104630.90625</v>
      </c>
      <c r="N13" s="49" t="n">
        <v>24109311.029375</v>
      </c>
      <c r="P13" s="66" t="n">
        <f aca="false">N13-L13</f>
        <v>23004680.123125</v>
      </c>
      <c r="Q13" s="64" t="n">
        <f aca="false">+H13/$H$29*$Q$29</f>
        <v>6581.9483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160560</v>
      </c>
      <c r="Q14" s="64" t="n">
        <f aca="false">+H14/$H$29*$Q$29</f>
        <v>32112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((E15/$E$29)*$K$11)*1.2</f>
        <v>5228.15</v>
      </c>
      <c r="Q15" s="64" t="n">
        <f aca="false">+H15/$H$29*$Q$29</f>
        <v>1045.63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((E17/$E$29)*$K$11)*1.2</f>
        <v>295</v>
      </c>
      <c r="I17" s="49" t="s">
        <v>135</v>
      </c>
      <c r="J17" s="49" t="n">
        <v>48400</v>
      </c>
      <c r="K17" s="49" t="n">
        <f aca="false">1-1</f>
        <v>0</v>
      </c>
      <c r="L17" s="49" t="n">
        <f aca="false">J17*K17</f>
        <v>0</v>
      </c>
      <c r="Q17" s="64" t="n">
        <f aca="false">+H17/$H$29*$Q$29</f>
        <v>59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((E18/$E$29)*$K$11)*1.2</f>
        <v>5357.746</v>
      </c>
      <c r="I18" s="49" t="s">
        <v>138</v>
      </c>
      <c r="J18" s="49" t="n">
        <v>49500</v>
      </c>
      <c r="K18" s="49" t="n">
        <f aca="false">1-1</f>
        <v>0</v>
      </c>
      <c r="L18" s="49" t="n">
        <f aca="false">J18*K18</f>
        <v>0</v>
      </c>
      <c r="Q18" s="64" t="n">
        <f aca="false">+H18/$H$29*$Q$29</f>
        <v>1071.5492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((E19/$E$29)*$K$11)*1.2</f>
        <v>5460.516</v>
      </c>
      <c r="I19" s="49" t="s">
        <v>141</v>
      </c>
      <c r="J19" s="49" t="n">
        <v>57750</v>
      </c>
      <c r="K19" s="49" t="n">
        <f aca="false">1-1</f>
        <v>0</v>
      </c>
      <c r="L19" s="49" t="n">
        <f aca="false">J19*K19</f>
        <v>0</v>
      </c>
      <c r="Q19" s="64" t="n">
        <f aca="false">+H19/$H$29*$Q$29</f>
        <v>1092.1032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((E20/$E$29)*$K$11)*1.2</f>
        <v>0.8</v>
      </c>
      <c r="I20" s="49" t="s">
        <v>144</v>
      </c>
      <c r="J20" s="49" t="n">
        <v>71500</v>
      </c>
      <c r="K20" s="49" t="n">
        <v>1</v>
      </c>
      <c r="L20" s="49" t="n">
        <f aca="false">J20*K20</f>
        <v>71500</v>
      </c>
      <c r="Q20" s="64" t="n">
        <f aca="false">+H20/$H$29*$Q$29</f>
        <v>0.16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((E21/$E$29)*$K$11)*1.2</f>
        <v>6789.44549999999</v>
      </c>
      <c r="I21" s="49" t="s">
        <v>147</v>
      </c>
      <c r="J21" s="49" t="n">
        <v>60500</v>
      </c>
      <c r="K21" s="49" t="n">
        <f aca="false">1-1</f>
        <v>0</v>
      </c>
      <c r="L21" s="49" t="n">
        <f aca="false">J21*K21</f>
        <v>0</v>
      </c>
      <c r="Q21" s="64" t="n">
        <f aca="false">+H21/$H$29*$Q$29</f>
        <v>1357.8891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((E22/$E$29)*$K$11-65535)*1.2</f>
        <v>117962.834</v>
      </c>
      <c r="I22" s="49" t="s">
        <v>150</v>
      </c>
      <c r="J22" s="49" t="n">
        <v>89100</v>
      </c>
      <c r="K22" s="49" t="n">
        <f aca="false">1-1</f>
        <v>0</v>
      </c>
      <c r="L22" s="49" t="n">
        <f aca="false">J22*K22</f>
        <v>0</v>
      </c>
      <c r="Q22" s="64" t="n">
        <f aca="false">+H22/$H$29*$Q$29</f>
        <v>23592.5668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1407475.0755</v>
      </c>
      <c r="I23" s="49" t="s">
        <v>153</v>
      </c>
      <c r="J23" s="49" t="n">
        <v>110000</v>
      </c>
      <c r="K23" s="49" t="n">
        <v>3</v>
      </c>
      <c r="L23" s="49" t="n">
        <f aca="false">J23*K23</f>
        <v>330000</v>
      </c>
      <c r="Q23" s="74" t="n">
        <f aca="false">SUM(Q8:Q22)</f>
        <v>281495.0151</v>
      </c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1-1</f>
        <v>0</v>
      </c>
      <c r="L24" s="49" t="n">
        <f aca="false">J24*K24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5</v>
      </c>
      <c r="I25" s="49" t="s">
        <v>155</v>
      </c>
      <c r="J25" s="49" t="n">
        <v>165000</v>
      </c>
      <c r="K25" s="49" t="n">
        <f aca="false">1-1</f>
        <v>0</v>
      </c>
      <c r="L25" s="49" t="n">
        <f aca="false">J25*K25</f>
        <v>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f aca="false">1-1</f>
        <v>0</v>
      </c>
      <c r="L27" s="49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49" t="n">
        <f aca="false">SUM(K16:K27)</f>
        <v>5</v>
      </c>
      <c r="L28" s="49" t="n">
        <f aca="false">SUM(L16:L27)*1.2</f>
        <v>719400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5</v>
      </c>
      <c r="L29" s="78" t="n">
        <v>0.2</v>
      </c>
      <c r="Q29" s="77" t="n">
        <v>1</v>
      </c>
    </row>
    <row r="30" customFormat="false" ht="12.75" hidden="true" customHeight="false" outlineLevel="0" collapsed="false">
      <c r="L30" s="49" t="n">
        <f aca="false">L28*1.2</f>
        <v>863280</v>
      </c>
    </row>
    <row r="31" customFormat="false" ht="12.75" hidden="true" customHeight="false" outlineLevel="0" collapsed="false">
      <c r="H31" s="16" t="s">
        <v>160</v>
      </c>
      <c r="L31" s="0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5</v>
      </c>
      <c r="L34" s="80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50" t="str">
        <f aca="false">'[13]Team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2"/>
      <c r="L1" s="52"/>
      <c r="M1" s="52"/>
    </row>
    <row r="2" customFormat="false" ht="18" hidden="false" customHeight="false" outlineLevel="0" collapsed="false">
      <c r="B2" s="50" t="s">
        <v>250</v>
      </c>
      <c r="C2" s="50"/>
      <c r="D2" s="50"/>
      <c r="E2" s="50"/>
      <c r="F2" s="50"/>
      <c r="G2" s="50"/>
      <c r="H2" s="52"/>
      <c r="I2" s="52"/>
      <c r="J2" s="52"/>
      <c r="K2" s="52"/>
      <c r="L2" s="52"/>
      <c r="M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4"/>
      <c r="I3" s="54"/>
      <c r="J3" s="54"/>
      <c r="K3" s="54"/>
      <c r="L3" s="54"/>
      <c r="M3" s="54"/>
    </row>
    <row r="4" customFormat="false" ht="13.5" hidden="false" customHeight="false" outlineLevel="0" collapsed="false"/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J6" s="88"/>
      <c r="K6" s="80" t="s">
        <v>105</v>
      </c>
      <c r="L6" s="80" t="s">
        <v>106</v>
      </c>
      <c r="M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16"/>
      <c r="J7" s="88"/>
      <c r="K7" s="49"/>
      <c r="L7" s="49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'[13]Team Report'!BA25</f>
        <v>17469588.96</v>
      </c>
      <c r="E8" s="64" t="n">
        <f aca="false">+C8/9*12</f>
        <v>23292785.28</v>
      </c>
      <c r="F8" s="64"/>
      <c r="G8" s="64" t="n">
        <f aca="false">SUM(M17:M28)</f>
        <v>1776000</v>
      </c>
      <c r="J8" s="88"/>
      <c r="K8" s="49"/>
      <c r="L8" s="49"/>
      <c r="M8" s="59"/>
      <c r="O8" s="64" t="n">
        <f aca="false">+G8/$G$29*$O$29</f>
        <v>148000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+C9/9*12</f>
        <v>0</v>
      </c>
      <c r="F9" s="64"/>
      <c r="G9" s="64" t="n">
        <f aca="false">+E9/9*12</f>
        <v>0</v>
      </c>
      <c r="J9" s="88" t="s">
        <v>116</v>
      </c>
      <c r="K9" s="49" t="n">
        <v>0</v>
      </c>
      <c r="L9" s="49" t="n">
        <f aca="false">+L29</f>
        <v>12</v>
      </c>
      <c r="M9" s="59" t="n">
        <f aca="false">M35</f>
        <v>2131200</v>
      </c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v>0</v>
      </c>
      <c r="E10" s="64" t="n">
        <f aca="false">+C10/9*12</f>
        <v>0</v>
      </c>
      <c r="F10" s="64"/>
      <c r="G10" s="64" t="n">
        <f aca="false">+E10/9*12</f>
        <v>0</v>
      </c>
      <c r="J10" s="88"/>
      <c r="K10" s="49"/>
      <c r="L10" s="49"/>
      <c r="M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'[13]Team Report'!BA26</f>
        <v>1272399.64</v>
      </c>
      <c r="E11" s="64" t="n">
        <f aca="false">+C11/9*12</f>
        <v>1696532.85333333</v>
      </c>
      <c r="F11" s="64"/>
      <c r="G11" s="64" t="n">
        <f aca="false">+G8*0.2</f>
        <v>355200</v>
      </c>
      <c r="J11" s="88"/>
      <c r="K11" s="49"/>
      <c r="L11" s="49"/>
      <c r="M11" s="59"/>
      <c r="O11" s="64" t="n">
        <f aca="false">+G11/$G$29*$O$29</f>
        <v>29600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'[13]Team Report'!BA27</f>
        <v>141777.57</v>
      </c>
      <c r="E12" s="64" t="n">
        <f aca="false">+C12/9*12</f>
        <v>189036.76</v>
      </c>
      <c r="F12" s="64"/>
      <c r="G12" s="64" t="n">
        <f aca="false">+$M$12*0.25</f>
        <v>66582</v>
      </c>
      <c r="J12" s="88" t="s">
        <v>78</v>
      </c>
      <c r="K12" s="49" t="n">
        <f aca="false">18495*1.2</f>
        <v>22194</v>
      </c>
      <c r="L12" s="49" t="n">
        <v>12</v>
      </c>
      <c r="M12" s="59" t="n">
        <f aca="false">K12*L12</f>
        <v>266328</v>
      </c>
      <c r="O12" s="64" t="n">
        <f aca="false">+G12/$G$29*$O$29</f>
        <v>5548.5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'[13]Team Report'!BA28</f>
        <v>100051.51</v>
      </c>
      <c r="E13" s="64" t="n">
        <f aca="false">+C13/9*12</f>
        <v>133402.013333333</v>
      </c>
      <c r="F13" s="64"/>
      <c r="G13" s="64" t="n">
        <f aca="false">+$M$12*0.13</f>
        <v>34622.64</v>
      </c>
      <c r="J13" s="88"/>
      <c r="K13" s="49"/>
      <c r="L13" s="49"/>
      <c r="M13" s="59"/>
      <c r="O13" s="64" t="n">
        <f aca="false">+G13/$G$29*$O$29</f>
        <v>2885.22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'[13]Team Report'!BA32</f>
        <v>13823042.72</v>
      </c>
      <c r="E14" s="64" t="n">
        <f aca="false">+C14/9*12</f>
        <v>18430723.6266667</v>
      </c>
      <c r="F14" s="64"/>
      <c r="G14" s="64" t="n">
        <f aca="false">+$M$12*0.2</f>
        <v>53265.6</v>
      </c>
      <c r="J14" s="93" t="s">
        <v>125</v>
      </c>
      <c r="K14" s="70"/>
      <c r="L14" s="70"/>
      <c r="M14" s="71" t="n">
        <f aca="false">SUM(M9:M12)</f>
        <v>2397528</v>
      </c>
      <c r="O14" s="64" t="n">
        <f aca="false">+G14/$G$29*$O$29</f>
        <v>4438.8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'[13]Team Report'!BA33</f>
        <v>7559.43</v>
      </c>
      <c r="E15" s="64" t="n">
        <f aca="false">+C15/9*12</f>
        <v>10079.24</v>
      </c>
      <c r="F15" s="64"/>
      <c r="G15" s="64" t="n">
        <f aca="false">+$M$12*0.08</f>
        <v>21306.24</v>
      </c>
      <c r="J15" s="26"/>
      <c r="K15" s="49"/>
      <c r="L15" s="49"/>
      <c r="M15" s="49"/>
      <c r="O15" s="64" t="n">
        <f aca="false">+G15/$G$29*$O$29</f>
        <v>1775.52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'[13]Team Report'!BA34</f>
        <v>0</v>
      </c>
      <c r="E16" s="64" t="n">
        <f aca="false">+C16/9*12</f>
        <v>0</v>
      </c>
      <c r="F16" s="64"/>
      <c r="G16" s="64" t="n">
        <v>0</v>
      </c>
      <c r="J16" s="26"/>
      <c r="K16" s="49"/>
      <c r="L16" s="106"/>
      <c r="M16" s="49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'[13]Team Report'!BA35</f>
        <v>0</v>
      </c>
      <c r="E17" s="64" t="n">
        <f aca="false">+C17/9*12</f>
        <v>0</v>
      </c>
      <c r="F17" s="64"/>
      <c r="G17" s="64" t="n">
        <v>0</v>
      </c>
      <c r="J17" s="0" t="s">
        <v>197</v>
      </c>
      <c r="K17" s="49" t="n">
        <v>49200</v>
      </c>
      <c r="L17" s="49" t="n">
        <v>0</v>
      </c>
      <c r="M17" s="49" t="n">
        <f aca="false">K17*L17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'[13]Team Report'!BA36</f>
        <v>91694.45</v>
      </c>
      <c r="E18" s="64" t="n">
        <f aca="false">+C18/9*12</f>
        <v>122259.266666667</v>
      </c>
      <c r="F18" s="64"/>
      <c r="G18" s="64" t="n">
        <v>0</v>
      </c>
      <c r="J18" s="0" t="s">
        <v>135</v>
      </c>
      <c r="K18" s="49" t="n">
        <v>57600</v>
      </c>
      <c r="L18" s="49" t="n">
        <v>0</v>
      </c>
      <c r="M18" s="49" t="n">
        <f aca="false">K18*L18</f>
        <v>0</v>
      </c>
      <c r="O18" s="64" t="n">
        <f aca="false">+G18/$G$29*$O$29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'[13]Team Report'!BA37</f>
        <v>-7331217.46</v>
      </c>
      <c r="E19" s="64" t="n">
        <f aca="false">+C19/9*12</f>
        <v>-9774956.61333334</v>
      </c>
      <c r="F19" s="64"/>
      <c r="G19" s="64" t="n">
        <f aca="false">+$M$12*0.19</f>
        <v>50602.32</v>
      </c>
      <c r="J19" s="0" t="s">
        <v>138</v>
      </c>
      <c r="K19" s="49" t="n">
        <v>60000</v>
      </c>
      <c r="L19" s="49" t="n">
        <v>0</v>
      </c>
      <c r="M19" s="49" t="n">
        <f aca="false">K19*L19</f>
        <v>0</v>
      </c>
      <c r="O19" s="64" t="n">
        <f aca="false">+G19/$G$29*$O$29</f>
        <v>4216.86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'[13]Team Report'!BA38</f>
        <v>0</v>
      </c>
      <c r="E20" s="64" t="n">
        <f aca="false">+C20/9*12</f>
        <v>0</v>
      </c>
      <c r="F20" s="64"/>
      <c r="G20" s="64" t="n">
        <v>0</v>
      </c>
      <c r="J20" s="0" t="s">
        <v>141</v>
      </c>
      <c r="K20" s="49" t="n">
        <v>78000</v>
      </c>
      <c r="L20" s="49" t="n">
        <v>2</v>
      </c>
      <c r="M20" s="49" t="n">
        <f aca="false">K20*L20</f>
        <v>156000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'[13]Team Report'!BA42</f>
        <v>24774212.69</v>
      </c>
      <c r="E21" s="64" t="n">
        <f aca="false">+C21/9*12</f>
        <v>33032283.5866667</v>
      </c>
      <c r="F21" s="64"/>
      <c r="G21" s="64" t="n">
        <f aca="false">+$M$12*0.15</f>
        <v>39949.2</v>
      </c>
      <c r="J21" s="0" t="s">
        <v>144</v>
      </c>
      <c r="K21" s="49" t="n">
        <v>102000</v>
      </c>
      <c r="L21" s="49" t="n">
        <v>2</v>
      </c>
      <c r="M21" s="49" t="n">
        <f aca="false">K21*L21</f>
        <v>204000</v>
      </c>
      <c r="O21" s="64" t="n">
        <f aca="false">+G21/$G$29*$O$29</f>
        <v>3329.1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'[13]Team Report'!BA44</f>
        <v>16.6</v>
      </c>
      <c r="E22" s="64" t="n">
        <f aca="false">+C22/9*12</f>
        <v>22.1333333333333</v>
      </c>
      <c r="F22" s="64"/>
      <c r="G22" s="64" t="n">
        <v>0</v>
      </c>
      <c r="J22" s="0" t="s">
        <v>147</v>
      </c>
      <c r="K22" s="49" t="n">
        <v>0</v>
      </c>
      <c r="L22" s="49" t="n">
        <v>0</v>
      </c>
      <c r="M22" s="49" t="n">
        <f aca="false">K22*L22</f>
        <v>0</v>
      </c>
      <c r="O22" s="64" t="n">
        <f aca="false">+G22/$G$29*$O$29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50349126.11</v>
      </c>
      <c r="E23" s="74" t="n">
        <f aca="false">SUM(E8:E22)</f>
        <v>67132168.1466667</v>
      </c>
      <c r="F23" s="76"/>
      <c r="G23" s="74" t="n">
        <f aca="false">SUM(G8:G22)</f>
        <v>2397528</v>
      </c>
      <c r="J23" s="0" t="s">
        <v>150</v>
      </c>
      <c r="K23" s="49" t="n">
        <v>0</v>
      </c>
      <c r="L23" s="49" t="n">
        <v>0</v>
      </c>
      <c r="M23" s="49" t="n">
        <f aca="false">K23*L23</f>
        <v>0</v>
      </c>
      <c r="O23" s="74" t="n">
        <f aca="false">SUM(O8:O22)</f>
        <v>199794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3</v>
      </c>
      <c r="M24" s="49" t="n">
        <f aca="false">K24*L24</f>
        <v>432000</v>
      </c>
    </row>
    <row r="25" customFormat="false" ht="12.75" hidden="false" customHeight="false" outlineLevel="0" collapsed="false">
      <c r="B25" s="73" t="s">
        <v>7</v>
      </c>
      <c r="C25" s="64"/>
      <c r="E25" s="77" t="n">
        <v>111</v>
      </c>
      <c r="F25" s="64"/>
      <c r="G25" s="77" t="n">
        <v>12</v>
      </c>
      <c r="J25" s="0" t="s">
        <v>154</v>
      </c>
      <c r="K25" s="49" t="n">
        <v>168000</v>
      </c>
      <c r="L25" s="49" t="n">
        <v>2</v>
      </c>
      <c r="M25" s="49" t="n">
        <f aca="false">K25*L25</f>
        <v>336000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G26" s="64"/>
      <c r="J26" s="0" t="s">
        <v>155</v>
      </c>
      <c r="K26" s="49" t="n">
        <v>216000</v>
      </c>
      <c r="L26" s="49" t="n">
        <v>3</v>
      </c>
      <c r="M26" s="49" t="n">
        <f aca="false">K26*L26</f>
        <v>648000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0</v>
      </c>
      <c r="F27" s="64"/>
      <c r="G27" s="77" t="n">
        <v>0</v>
      </c>
      <c r="J27" s="0" t="s">
        <v>156</v>
      </c>
      <c r="K27" s="49" t="n">
        <v>222000</v>
      </c>
      <c r="L27" s="49" t="n">
        <v>0</v>
      </c>
      <c r="M27" s="49" t="n">
        <f aca="false">K27*L27</f>
        <v>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111</v>
      </c>
      <c r="F29" s="64"/>
      <c r="G29" s="77" t="n">
        <f aca="false">+G27+G25</f>
        <v>12</v>
      </c>
      <c r="H29" s="49"/>
      <c r="K29" s="49"/>
      <c r="L29" s="49" t="n">
        <f aca="false">SUM(L17:L28)</f>
        <v>12</v>
      </c>
      <c r="M29" s="49" t="n">
        <f aca="false">SUM(M17:M28)</f>
        <v>1776000</v>
      </c>
      <c r="O29" s="77" t="n">
        <v>1</v>
      </c>
    </row>
    <row r="30" customFormat="false" ht="12.75" hidden="false" customHeight="false" outlineLevel="0" collapsed="false">
      <c r="K30" s="49"/>
      <c r="L30" s="49"/>
      <c r="M30" s="49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'[13]Team Report'!BA29</f>
        <v>0</v>
      </c>
      <c r="E31" s="64" t="n">
        <f aca="false">(C31/9)*12</f>
        <v>0</v>
      </c>
      <c r="F31" s="64"/>
      <c r="J31" s="0" t="s">
        <v>247</v>
      </c>
      <c r="K31" s="49"/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'[13]Team Report'!BA30</f>
        <v>0</v>
      </c>
      <c r="E32" s="64" t="n">
        <f aca="false">(C32/9)*12</f>
        <v>0</v>
      </c>
      <c r="F32" s="64"/>
      <c r="K32" s="49"/>
      <c r="L32" s="49"/>
      <c r="M32" s="49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'[13]Team Report'!BA31</f>
        <v>0</v>
      </c>
      <c r="E33" s="64" t="n">
        <f aca="false">(C33/9)*12</f>
        <v>0</v>
      </c>
      <c r="F33" s="64"/>
      <c r="J33" s="0" t="s">
        <v>252</v>
      </c>
      <c r="K33" s="49" t="n">
        <v>160000</v>
      </c>
      <c r="L33" s="49" t="n">
        <v>0</v>
      </c>
      <c r="M33" s="49" t="n">
        <f aca="false">K33*L33</f>
        <v>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'[13]Team Report'!BA39</f>
        <v>-7489842.25</v>
      </c>
      <c r="E34" s="64" t="n">
        <v>0</v>
      </c>
      <c r="F34" s="64"/>
      <c r="K34" s="49"/>
      <c r="L34" s="49"/>
      <c r="M34" s="49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'[13]Team Report'!BA40</f>
        <v>2999489.79</v>
      </c>
      <c r="E35" s="64" t="n">
        <v>0</v>
      </c>
      <c r="F35" s="64"/>
      <c r="K35" s="49"/>
      <c r="L35" s="49" t="n">
        <f aca="false">+L29+L33</f>
        <v>12</v>
      </c>
      <c r="M35" s="49" t="n">
        <f aca="false">M29*1.2+M33</f>
        <v>2131200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'[13]Team Report'!BA41</f>
        <v>205055.59</v>
      </c>
      <c r="E36" s="64" t="n">
        <v>0</v>
      </c>
      <c r="F36" s="64"/>
      <c r="K36" s="49"/>
      <c r="L36" s="49"/>
      <c r="M36" s="49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'[13]Team Report'!BA43</f>
        <v>42687168.7</v>
      </c>
      <c r="E37" s="64" t="n">
        <v>0</v>
      </c>
      <c r="F37" s="64"/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'[13]Team Report'!BA45</f>
        <v>8186094.07</v>
      </c>
      <c r="E38" s="64" t="n">
        <v>0</v>
      </c>
      <c r="F38" s="64"/>
    </row>
    <row r="39" customFormat="false" ht="12.75" hidden="false" customHeight="false" outlineLevel="0" collapsed="false">
      <c r="I39" s="0" t="s">
        <v>253</v>
      </c>
    </row>
    <row r="40" customFormat="false" ht="12.75" hidden="false" customHeight="false" outlineLevel="0" collapsed="false">
      <c r="C40" s="102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254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(L29-H10-2561483)*1.2</f>
        <v>11877365.04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H10" s="64" t="n">
        <f aca="false">(L20+L21+591219)*1.2</f>
        <v>2149462.8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(L33-L29-378340)*1.2</f>
        <v>3052092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((E12/$E$29)*$K$12-208603)*1.2+15000</f>
        <v>381017.672189831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2241.28042464606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((E13/$E$29)*$K$12+143684)*1.2</f>
        <v>426672.009979661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((E14/$E$29)*$K$12-7551171)*1.2</f>
        <v>337190.054237289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((E15/$E$29)*$K$12-3878978)*1.2</f>
        <v>424070.806779661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((E16/$E$29)*$K$12)*1.2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((E17/$E$29)*$K$12)*1.2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((E18/$E$29)*$K$12+1401739)*1.2</f>
        <v>1743839.87205424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((E19/$E$29)*$K$12+84308)*1.2</f>
        <v>372491.633898305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((E20/$E$29)*$K$12)*1.2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20764201.889139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122142.364053759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151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f aca="false">SUM(K20:K21)</f>
        <v>19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170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264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2724807.27388235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493112.054117647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700185.811764706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83968.7600906082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97883.5787600399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77355.3653838486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97286.8321435692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400057.382412443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85453.9630707876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4760111.021626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0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v>39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100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489067.972235294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88507.2917647059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125674.376470588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15071.3159136989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17568.8474697507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13884.2963509472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17461.7391026919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71805.1712022333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15337.8908075773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854378.901317488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7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7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51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2235739.30164706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404604.762352941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574511.435294118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68897.4441769093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80314.7312902891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63471.0690329014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79825.0930408773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328252.211210209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70116.0722632104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3905732.12030851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32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32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266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1397337.06352941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252877.976470588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359069.647058824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43060.9026105683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50196.7070564307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39669.4181455634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49890.6831505483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205157.632006381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43822.5451645065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2441082.57519282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20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20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267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768535.384941176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139082.887058824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197488.305882353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23683.4964358126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27608.1888810369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21818.1799800599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27439.8757328016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112836.697603509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24102.3998404786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1342595.41635605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11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11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59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908269.091294118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164370.684705882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233395.270588235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27989.5866968694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32627.85958668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25785.1217946162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32428.9440478564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133352.460804148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28484.6543569292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1586703.67387533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13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13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9.7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167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  <c r="N5" s="82" t="s">
        <v>168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N6" s="60" t="s">
        <v>110</v>
      </c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N7" s="61" t="s">
        <v>114</v>
      </c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856458</v>
      </c>
      <c r="I8" s="58" t="s">
        <v>116</v>
      </c>
      <c r="J8" s="49" t="n">
        <v>0</v>
      </c>
      <c r="L8" s="59" t="n">
        <f aca="false">L30</f>
        <v>1507968</v>
      </c>
      <c r="N8" s="64" t="n">
        <f aca="false">H8/2*1.5+75670+10715</f>
        <v>728728.5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N9" s="64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N10" s="64" t="n">
        <v>420200</v>
      </c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v>155337.6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10</v>
      </c>
      <c r="L11" s="59" t="n">
        <f aca="false">J11*K11</f>
        <v>482701.8125</v>
      </c>
      <c r="N11" s="64" t="n">
        <f aca="false">H11/2*1.5+24992</f>
        <v>141495.2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36000</v>
      </c>
      <c r="I12" s="58"/>
      <c r="L12" s="59"/>
      <c r="N12" s="64" t="n">
        <v>75000</v>
      </c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36000</v>
      </c>
      <c r="I13" s="69" t="s">
        <v>125</v>
      </c>
      <c r="J13" s="70"/>
      <c r="K13" s="70"/>
      <c r="L13" s="71" t="n">
        <f aca="false">L8+L11</f>
        <v>1990669.8125</v>
      </c>
      <c r="N13" s="64" t="n">
        <v>75000</v>
      </c>
      <c r="P13" s="66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N14" s="64" t="n">
        <v>0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24000</v>
      </c>
      <c r="N15" s="64" t="n">
        <v>50000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4" t="n"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283.2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4" t="n">
        <v>590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4" t="n"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48000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N19" s="64" t="n">
        <v>100000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0.96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N20" s="64" t="n">
        <v>2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7200</v>
      </c>
      <c r="I21" s="49" t="s">
        <v>147</v>
      </c>
      <c r="J21" s="49" t="n">
        <v>60500</v>
      </c>
      <c r="K21" s="49" t="n">
        <v>4</v>
      </c>
      <c r="L21" s="49" t="n">
        <f aca="false">J21*K21</f>
        <v>242000</v>
      </c>
      <c r="N21" s="64" t="n">
        <v>15000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2</v>
      </c>
      <c r="L22" s="49" t="n">
        <f aca="false">J22*K22</f>
        <v>178200</v>
      </c>
      <c r="N22" s="64" t="n"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1163279.76</v>
      </c>
      <c r="I23" s="49" t="s">
        <v>153</v>
      </c>
      <c r="J23" s="49" t="n">
        <v>110000</v>
      </c>
      <c r="K23" s="49" t="n">
        <v>0</v>
      </c>
      <c r="L23" s="49" t="n">
        <f aca="false">J23*K23</f>
        <v>0</v>
      </c>
      <c r="N23" s="74" t="n">
        <f aca="false">SUM(N8:N22)</f>
        <v>1606015.7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3</f>
        <v>3</v>
      </c>
      <c r="L24" s="49" t="n">
        <f aca="false">J24*K24</f>
        <v>429000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4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10</v>
      </c>
      <c r="L28" s="49" t="n">
        <f aca="false">SUM(L16:L27)*1.2</f>
        <v>1256640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4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1507968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10</v>
      </c>
      <c r="L34" s="80" t="n">
        <f aca="false">+J34*K34</f>
        <v>482701.8125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: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101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((2084000/32)*13)*1.2</f>
        <v>1015950</v>
      </c>
      <c r="I8" s="88"/>
      <c r="L8" s="59"/>
      <c r="M8" s="26"/>
      <c r="Q8" s="64" t="n">
        <f aca="false">+H8/$H$29*$Q$29</f>
        <v>72567.8571428571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(94274)*1.2</f>
        <v>113128.8</v>
      </c>
      <c r="I10" s="88"/>
      <c r="L10" s="59"/>
      <c r="M10" s="26"/>
      <c r="Q10" s="64" t="n">
        <f aca="false">+H10/$H$29*$Q$29</f>
        <v>8080.62857142857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((H8+H10)*0.2)*1.2</f>
        <v>270978.912</v>
      </c>
      <c r="I11" s="88"/>
      <c r="L11" s="59"/>
      <c r="M11" s="26"/>
      <c r="Q11" s="64" t="n">
        <f aca="false">+H11/$H$29*$Q$29</f>
        <v>19355.6365714286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((((105350+28800)/32)*14)/2)*1.2</f>
        <v>35214.375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2515.3125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v>35214</v>
      </c>
      <c r="I13" s="88"/>
      <c r="L13" s="59"/>
      <c r="M13" s="26"/>
      <c r="Q13" s="64" t="n">
        <f aca="false">+H13/$H$29*$Q$29</f>
        <v>2515.28571428571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v>0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((88248/32)*14)*1.2</f>
        <v>46330.2</v>
      </c>
      <c r="I15" s="26"/>
      <c r="M15" s="26"/>
      <c r="Q15" s="64" t="n">
        <f aca="false">+H15/$H$29*$Q$29</f>
        <v>3309.3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((268800/32)*14)*1.2</f>
        <v>141120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10080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((57600/32)*14)*1.2</f>
        <v>30240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2160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1688176.287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120584.0205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13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1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14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101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((2084000/32)*13)*1.2</f>
        <v>1015950</v>
      </c>
      <c r="I8" s="88"/>
      <c r="L8" s="59"/>
      <c r="M8" s="26"/>
      <c r="Q8" s="64" t="n">
        <f aca="false">+H8/$H$29*$Q$29</f>
        <v>72567.8571428571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(94274)*1.2</f>
        <v>113128.8</v>
      </c>
      <c r="I10" s="88"/>
      <c r="L10" s="59"/>
      <c r="M10" s="26"/>
      <c r="Q10" s="64" t="n">
        <f aca="false">+H10/$H$29*$Q$29</f>
        <v>8080.62857142857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((H8+H10)*0.2)*1.2</f>
        <v>270978.912</v>
      </c>
      <c r="I11" s="88"/>
      <c r="L11" s="59"/>
      <c r="M11" s="26"/>
      <c r="Q11" s="64" t="n">
        <f aca="false">+H11/$H$29*$Q$29</f>
        <v>19355.6365714286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((((105350+28800)/32)*14)/2)*1.2</f>
        <v>35214.375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2515.3125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v>35214</v>
      </c>
      <c r="I13" s="88"/>
      <c r="L13" s="59"/>
      <c r="M13" s="26"/>
      <c r="Q13" s="64" t="n">
        <f aca="false">+H13/$H$29*$Q$29</f>
        <v>2515.28571428571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v>0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((88248/32)*14)*1.2</f>
        <v>46330.2</v>
      </c>
      <c r="I15" s="26"/>
      <c r="M15" s="26"/>
      <c r="Q15" s="64" t="n">
        <f aca="false">+H15/$H$29*$Q$29</f>
        <v>3309.3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((268800/32)*14)*1.2</f>
        <v>141120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10080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((57600/32)*14)*1.2</f>
        <v>30240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2160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1688176.287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120584.0205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13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1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14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268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558934.825411765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101151.190588235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143627.858823529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17224.3610442273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20078.6828225723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15867.7672582253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19956.2732602193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82063.0528025523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17529.0180658026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976433.030077129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8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8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57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2515206.71435294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455180.357647059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646325.364705882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77509.6246990229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90354.0727015753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71404.9526620141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89803.229670987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369283.737611486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78880.5812961117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4393948.63534708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36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36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customFormat="false" ht="18" hidden="false" customHeight="false" outlineLevel="0" collapsed="false">
      <c r="B2" s="50" t="s">
        <v>58</v>
      </c>
      <c r="C2" s="50"/>
      <c r="D2" s="50"/>
      <c r="E2" s="50"/>
      <c r="F2" s="50"/>
      <c r="G2" s="50"/>
      <c r="H2" s="50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customFormat="false" ht="13.5" hidden="false" customHeight="false" outlineLevel="0" collapsed="false">
      <c r="I4" s="103" t="s">
        <v>255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207</v>
      </c>
      <c r="H6" s="60" t="s">
        <v>110</v>
      </c>
      <c r="I6" s="88"/>
      <c r="J6" s="80" t="s">
        <v>105</v>
      </c>
      <c r="K6" s="80" t="s">
        <v>106</v>
      </c>
      <c r="L6" s="104" t="s">
        <v>223</v>
      </c>
      <c r="M6" s="26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208</v>
      </c>
      <c r="H7" s="61" t="s">
        <v>114</v>
      </c>
      <c r="I7" s="88"/>
      <c r="L7" s="59"/>
      <c r="M7" s="26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((C8/9)*12)*1.3</f>
        <v>8641537.19866667</v>
      </c>
      <c r="H8" s="64" t="n">
        <f aca="false">+([15]EOPs!H8)/170*$H$29</f>
        <v>279467.412705882</v>
      </c>
      <c r="I8" s="88"/>
      <c r="L8" s="59"/>
      <c r="M8" s="26"/>
      <c r="Q8" s="64" t="n">
        <f aca="false">+H8/$H$29*$Q$29</f>
        <v>69866.8531764706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+([15]EOPs!H9)/170*$H$29</f>
        <v>0</v>
      </c>
      <c r="I9" s="88" t="s">
        <v>116</v>
      </c>
      <c r="J9" s="49" t="n">
        <v>0</v>
      </c>
      <c r="K9" s="49" t="n">
        <f aca="false">K29</f>
        <v>184</v>
      </c>
      <c r="L9" s="59" t="n">
        <f aca="false">L33</f>
        <v>17530500</v>
      </c>
      <c r="M9" s="26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+([15]EOPs!H10)/170*$H$29</f>
        <v>50575.5952941176</v>
      </c>
      <c r="I10" s="88"/>
      <c r="L10" s="59"/>
      <c r="M10" s="26"/>
      <c r="Q10" s="64" t="n">
        <f aca="false">+H10/$H$29*$Q$29</f>
        <v>12643.8988235294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((C11/9)*12)*1.3</f>
        <v>2097820.59066667</v>
      </c>
      <c r="H11" s="64" t="n">
        <f aca="false">+([15]EOPs!H11)/170*$H$29</f>
        <v>71813.9294117647</v>
      </c>
      <c r="I11" s="88"/>
      <c r="L11" s="59"/>
      <c r="M11" s="26"/>
      <c r="Q11" s="64" t="n">
        <f aca="false">+H11/$H$29*$Q$29</f>
        <v>17953.4823529412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((C12/9)*12)*1.3</f>
        <v>329385.281333333</v>
      </c>
      <c r="H12" s="64" t="n">
        <f aca="false">+([15]EOPs!H12)/170*$H$29</f>
        <v>8612.18052211366</v>
      </c>
      <c r="I12" s="88" t="s">
        <v>78</v>
      </c>
      <c r="J12" s="49" t="n">
        <f aca="false">(E12+E13+E14+E15+E16+E17+E18+E19+E20+E21+E22)/E29</f>
        <v>72139.8418870057</v>
      </c>
      <c r="K12" s="49" t="n">
        <f aca="false">K29</f>
        <v>184</v>
      </c>
      <c r="L12" s="59" t="n">
        <f aca="false">J12*K12</f>
        <v>13273730.907209</v>
      </c>
      <c r="M12" s="26"/>
      <c r="Q12" s="64" t="n">
        <f aca="false">+H12/$H$29*$Q$29</f>
        <v>2153.04513052842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((C13/9)*12)*1.3</f>
        <v>135877.005333333</v>
      </c>
      <c r="H13" s="64" t="n">
        <f aca="false">+([15]EOPs!H13)/170*$H$29</f>
        <v>10039.3414112861</v>
      </c>
      <c r="I13" s="88"/>
      <c r="L13" s="59"/>
      <c r="M13" s="26"/>
      <c r="Q13" s="64" t="n">
        <f aca="false">+H13/$H$29*$Q$29</f>
        <v>2509.83535282154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(4000000*1.2)+222800</f>
        <v>5022800</v>
      </c>
      <c r="H14" s="64" t="n">
        <f aca="false">+([15]EOPs!H14)/170*$H$29</f>
        <v>7933.88362911267</v>
      </c>
      <c r="I14" s="93" t="s">
        <v>125</v>
      </c>
      <c r="J14" s="70"/>
      <c r="K14" s="70"/>
      <c r="L14" s="71" t="n">
        <f aca="false">SUM(L9:L12)</f>
        <v>30804230.907209</v>
      </c>
      <c r="M14" s="26"/>
      <c r="N14" s="0" t="n">
        <v>36500125</v>
      </c>
      <c r="P14" s="66" t="n">
        <f aca="false">N14-L14</f>
        <v>5695894.09279096</v>
      </c>
      <c r="Q14" s="64" t="n">
        <f aca="false">+H14/$H$29*$Q$29</f>
        <v>1983.47090727817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2087875*1.3</f>
        <v>2714237.5</v>
      </c>
      <c r="H15" s="64" t="n">
        <f aca="false">+([15]EOPs!H15)/170*$H$29</f>
        <v>9978.13663010966</v>
      </c>
      <c r="I15" s="26"/>
      <c r="M15" s="26"/>
      <c r="Q15" s="64" t="n">
        <f aca="false">+H15/$H$29*$Q$29</f>
        <v>2494.53415752742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H16" s="64" t="n">
        <f aca="false">+([15]EOPs!H16)/170*$H$29</f>
        <v>0</v>
      </c>
      <c r="I16" s="26"/>
      <c r="M16" s="2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H17" s="64" t="n">
        <f aca="false">+([15]EOPs!H17)/170*$H$29</f>
        <v>0</v>
      </c>
      <c r="I17" s="26" t="s">
        <v>197</v>
      </c>
      <c r="J17" s="49" t="n">
        <v>37500</v>
      </c>
      <c r="K17" s="0" t="n">
        <f aca="false">1+1</f>
        <v>2</v>
      </c>
      <c r="L17" s="49" t="n">
        <f aca="false">J17*K17</f>
        <v>75000</v>
      </c>
      <c r="N17" s="0" t="n">
        <v>1.25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((C18/9)*12)*1.3</f>
        <v>33002.0946666667</v>
      </c>
      <c r="H18" s="64" t="n">
        <f aca="false">+([15]EOPs!H18)/170*$H$29</f>
        <v>41031.5264012762</v>
      </c>
      <c r="I18" s="0" t="s">
        <v>256</v>
      </c>
      <c r="J18" s="49" t="n">
        <v>52500</v>
      </c>
      <c r="K18" s="0" t="n">
        <f aca="false">1+2+1+1</f>
        <v>5</v>
      </c>
      <c r="L18" s="49" t="n">
        <f aca="false">J18*K18</f>
        <v>262500</v>
      </c>
      <c r="Q18" s="64" t="n">
        <f aca="false">+H18/$H$29*$Q$29</f>
        <v>10257.881600319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v>145000</v>
      </c>
      <c r="H19" s="64" t="n">
        <f aca="false">+([15]EOPs!H19)/170*$H$29</f>
        <v>8764.5090329013</v>
      </c>
      <c r="I19" s="0" t="s">
        <v>138</v>
      </c>
      <c r="J19" s="49" t="n">
        <v>56250</v>
      </c>
      <c r="K19" s="0" t="n">
        <f aca="false">7+2+1+1+4+2</f>
        <v>17</v>
      </c>
      <c r="L19" s="49" t="n">
        <f aca="false">J19*K19</f>
        <v>956250</v>
      </c>
      <c r="Q19" s="64" t="n">
        <f aca="false">+H19/$H$29*$Q$29</f>
        <v>2191.12725822532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H20" s="64" t="n">
        <f aca="false">+([15]EOPs!H20)/170*$H$29</f>
        <v>0</v>
      </c>
      <c r="I20" s="0" t="s">
        <v>150</v>
      </c>
      <c r="J20" s="49" t="n">
        <v>75000</v>
      </c>
      <c r="K20" s="0" t="n">
        <f aca="false">3+1</f>
        <v>4</v>
      </c>
      <c r="L20" s="49" t="n">
        <f aca="false">J20*K20</f>
        <v>300000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((C21/9)*12)*1.3</f>
        <v>130073.978666667</v>
      </c>
      <c r="H21" s="64" t="n">
        <f aca="false">+([15]EOPs!H21)/170*$H$29</f>
        <v>0</v>
      </c>
      <c r="I21" s="0" t="s">
        <v>257</v>
      </c>
      <c r="J21" s="49" t="n">
        <v>60000</v>
      </c>
      <c r="K21" s="0" t="n">
        <f aca="false">2+12+1</f>
        <v>15</v>
      </c>
      <c r="L21" s="49" t="n">
        <f aca="false">J21*K21</f>
        <v>900000</v>
      </c>
      <c r="Q21" s="64" t="n">
        <f aca="false">+H21/$H$29*$Q$29</f>
        <v>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((C22/9)*12)*1.3</f>
        <v>2125.48266666667</v>
      </c>
      <c r="H22" s="64" t="n">
        <f aca="false">+([15]EOPs!H22)/170*$H$29</f>
        <v>0</v>
      </c>
      <c r="I22" s="0" t="s">
        <v>141</v>
      </c>
      <c r="J22" s="49" t="n">
        <v>65000</v>
      </c>
      <c r="K22" s="0" t="n">
        <f aca="false">8+4+5+10+9+2+2+4+4+1</f>
        <v>49</v>
      </c>
      <c r="L22" s="49" t="n">
        <f aca="false">J22*K22</f>
        <v>3185000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19251859.132</v>
      </c>
      <c r="H23" s="74" t="n">
        <f aca="false">SUM(H8:H22)</f>
        <v>488216.515038564</v>
      </c>
      <c r="I23" s="0" t="s">
        <v>258</v>
      </c>
      <c r="J23" s="49" t="n">
        <v>82500</v>
      </c>
      <c r="K23" s="0" t="n">
        <f aca="false">10+1+13+6+6+3+7+1+2+6</f>
        <v>55</v>
      </c>
      <c r="L23" s="49" t="n">
        <f aca="false">J23*K23</f>
        <v>4537500</v>
      </c>
      <c r="Q23" s="74" t="n">
        <f aca="false">SUM(Q8:Q22)</f>
        <v>122054.128759641</v>
      </c>
    </row>
    <row r="24" customFormat="false" ht="12.75" hidden="false" customHeight="false" outlineLevel="0" collapsed="false">
      <c r="I24" s="0" t="s">
        <v>259</v>
      </c>
      <c r="J24" s="49" t="n">
        <v>100000</v>
      </c>
      <c r="K24" s="0" t="n">
        <f aca="false">2+1+8+6+3+1+4</f>
        <v>25</v>
      </c>
      <c r="L24" s="49" t="n">
        <f aca="false">J24*K24</f>
        <v>2500000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H25" s="107" t="n">
        <v>4</v>
      </c>
      <c r="I25" s="0" t="s">
        <v>260</v>
      </c>
      <c r="J25" s="49" t="n">
        <v>145000</v>
      </c>
      <c r="K25" s="0" t="n">
        <f aca="false">1+1+1+1+2+1+2</f>
        <v>9</v>
      </c>
      <c r="L25" s="49" t="n">
        <f aca="false">J25*K25</f>
        <v>1305000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I26" s="0" t="s">
        <v>261</v>
      </c>
      <c r="J26" s="49" t="n">
        <v>175000</v>
      </c>
      <c r="K26" s="0" t="n">
        <f aca="false">1+1</f>
        <v>2</v>
      </c>
      <c r="L26" s="49" t="n">
        <f aca="false">J26*K26</f>
        <v>350000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H27" s="107" t="n">
        <v>0</v>
      </c>
      <c r="I27" s="0" t="s">
        <v>262</v>
      </c>
      <c r="J27" s="49" t="n">
        <v>237500</v>
      </c>
      <c r="K27" s="0" t="n">
        <f aca="false">1</f>
        <v>1</v>
      </c>
      <c r="L27" s="49" t="n">
        <f aca="false">J27*K27</f>
        <v>237500</v>
      </c>
      <c r="Q27" s="77" t="n">
        <f aca="false">+T21+T22</f>
        <v>0</v>
      </c>
    </row>
    <row r="28" customFormat="false" ht="12.75" hidden="false" customHeight="false" outlineLevel="0" collapsed="false">
      <c r="I28" s="0" t="s">
        <v>263</v>
      </c>
      <c r="J28" s="49" t="n">
        <v>312500</v>
      </c>
      <c r="K28" s="0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H29" s="107" t="n">
        <f aca="false">SUM(H25:H28)</f>
        <v>4</v>
      </c>
      <c r="K29" s="49" t="n">
        <f aca="false">SUM(K17:K28)</f>
        <v>184</v>
      </c>
      <c r="L29" s="49" t="n">
        <f aca="false">SUM(L17:L28)</f>
        <v>14608750</v>
      </c>
      <c r="Q29" s="77" t="n">
        <v>1</v>
      </c>
    </row>
    <row r="30" customFormat="false" ht="12.75" hidden="tru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L33" s="49" t="n">
        <f aca="false">L29*1.2</f>
        <v>17530500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H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/>
      <c r="B39" s="63"/>
      <c r="C39" s="64"/>
      <c r="E39" s="64"/>
      <c r="H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50" t="str">
        <f aca="false">'[16]Team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269</v>
      </c>
      <c r="C2" s="50"/>
      <c r="D2" s="50"/>
      <c r="E2" s="50"/>
      <c r="F2" s="50"/>
      <c r="G2" s="50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J6" s="88"/>
      <c r="K6" s="80" t="s">
        <v>105</v>
      </c>
      <c r="L6" s="80" t="s">
        <v>106</v>
      </c>
      <c r="M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'[16]Team Report'!BA25</f>
        <v>10228335.79</v>
      </c>
      <c r="E8" s="64" t="n">
        <f aca="false">+C8/9*12</f>
        <v>13637781.0533333</v>
      </c>
      <c r="F8" s="64"/>
      <c r="G8" s="64" t="n">
        <f aca="false">(SUM(M17:M28)+348000)*1.2</f>
        <v>19899360</v>
      </c>
      <c r="J8" s="88"/>
      <c r="M8" s="59"/>
      <c r="O8" s="64" t="n">
        <f aca="false">+G8/$G$29*$O$29</f>
        <v>141130.212765957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+C9/9*12</f>
        <v>0</v>
      </c>
      <c r="F9" s="64"/>
      <c r="G9" s="64" t="n">
        <f aca="false">(+E9/9*12)*1.2</f>
        <v>0</v>
      </c>
      <c r="J9" s="88" t="s">
        <v>116</v>
      </c>
      <c r="K9" s="49" t="n">
        <v>0</v>
      </c>
      <c r="L9" s="49" t="n">
        <f aca="false">+L35</f>
        <v>140</v>
      </c>
      <c r="M9" s="59" t="n">
        <f aca="false">M35</f>
        <v>19481760</v>
      </c>
      <c r="O9" s="64" t="n">
        <f aca="false">+G9/$G$29*$O$29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+C10/9*12</f>
        <v>0</v>
      </c>
      <c r="F10" s="64"/>
      <c r="G10" s="64" t="n">
        <f aca="false">(+E10/9*12)*1.2</f>
        <v>0</v>
      </c>
      <c r="J10" s="88"/>
      <c r="M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'[16]Team Report'!BA26</f>
        <v>1877442.13</v>
      </c>
      <c r="E11" s="64" t="n">
        <f aca="false">+C11/9*12</f>
        <v>2503256.17333333</v>
      </c>
      <c r="F11" s="64"/>
      <c r="G11" s="64" t="n">
        <f aca="false">(+G8*0.2)*1.2</f>
        <v>4775846.4</v>
      </c>
      <c r="J11" s="88"/>
      <c r="M11" s="59"/>
      <c r="O11" s="64" t="n">
        <f aca="false">+G11/$G$29*$O$29</f>
        <v>33871.2510638298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'[16]Team Report'!BA27</f>
        <v>405632.98</v>
      </c>
      <c r="E12" s="64" t="n">
        <f aca="false">+C12/9*12</f>
        <v>540843.973333333</v>
      </c>
      <c r="F12" s="64"/>
      <c r="G12" s="64" t="n">
        <f aca="false">(+'IT Dev'!G12+'IT EOL'!G12)*1.2</f>
        <v>2645210.4</v>
      </c>
      <c r="J12" s="88" t="s">
        <v>78</v>
      </c>
      <c r="K12" s="49" t="n">
        <f aca="false">18495*1.2</f>
        <v>22194</v>
      </c>
      <c r="L12" s="49" t="n">
        <f aca="false">+L35</f>
        <v>140</v>
      </c>
      <c r="M12" s="59" t="n">
        <f aca="false">K12*L12</f>
        <v>3107160</v>
      </c>
      <c r="O12" s="64" t="n">
        <f aca="false">+G12/$G$29*$O$29</f>
        <v>18760.3574468085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'[16]Team Report'!BA28</f>
        <v>648740.17</v>
      </c>
      <c r="E13" s="64" t="n">
        <f aca="false">+C13/9*12</f>
        <v>864986.893333333</v>
      </c>
      <c r="F13" s="64"/>
      <c r="G13" s="64" t="n">
        <f aca="false">(+'IT Dev'!G13+'IT EOL'!G13)*1.2</f>
        <v>1435509.408</v>
      </c>
      <c r="J13" s="88"/>
      <c r="M13" s="59"/>
      <c r="O13" s="64" t="n">
        <f aca="false">+G13/$G$29*$O$29</f>
        <v>10180.917787234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+C14/9*12</f>
        <v>0</v>
      </c>
      <c r="F14" s="64"/>
      <c r="G14" s="64" t="n">
        <f aca="false">(+'IT Dev'!G14+'IT EOL'!G14)*1.2</f>
        <v>0</v>
      </c>
      <c r="J14" s="93" t="s">
        <v>125</v>
      </c>
      <c r="K14" s="70"/>
      <c r="L14" s="70"/>
      <c r="M14" s="71" t="n">
        <f aca="false">SUM(M9:M12)</f>
        <v>22588920</v>
      </c>
      <c r="O14" s="64" t="n">
        <f aca="false">+G14/$G$29*$O$29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'[16]Team Report'!BA33</f>
        <v>76876.32</v>
      </c>
      <c r="E15" s="64" t="n">
        <f aca="false">+C15/9*12</f>
        <v>102501.76</v>
      </c>
      <c r="F15" s="64"/>
      <c r="G15" s="64" t="n">
        <f aca="false">(+'IT Dev'!G15+'IT EOL'!G15)*1.2</f>
        <v>594467.328</v>
      </c>
      <c r="J15" s="26"/>
      <c r="O15" s="64" t="n">
        <f aca="false">+G15/$G$29*$O$29</f>
        <v>4216.08034042553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'[16]Team Report'!BA34</f>
        <v>0</v>
      </c>
      <c r="E16" s="64" t="n">
        <f aca="false">+C16/9*12</f>
        <v>0</v>
      </c>
      <c r="F16" s="64"/>
      <c r="G16" s="64" t="n">
        <f aca="false">(+'IT Dev'!G16+'IT EOL'!G16)*1.2</f>
        <v>0</v>
      </c>
      <c r="J16" s="26"/>
      <c r="L16" s="106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'[16]Team Report'!BA35</f>
        <v>0</v>
      </c>
      <c r="E17" s="64" t="n">
        <f aca="false">+C17/9*12</f>
        <v>0</v>
      </c>
      <c r="F17" s="64"/>
      <c r="G17" s="64" t="n">
        <f aca="false">(+'IT Dev'!G17+'IT EOL'!G17)*1.2</f>
        <v>0</v>
      </c>
      <c r="J17" s="0" t="s">
        <v>197</v>
      </c>
      <c r="K17" s="49" t="n">
        <v>49200</v>
      </c>
      <c r="L17" s="49" t="n">
        <f aca="false">+'IT Dev'!L17+'IT EOL'!L17</f>
        <v>0</v>
      </c>
      <c r="M17" s="49" t="n">
        <f aca="false">K17*L17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'[16]Team Report'!BA36</f>
        <v>5744.1</v>
      </c>
      <c r="E18" s="64" t="n">
        <f aca="false">+C18/9*12</f>
        <v>7658.8</v>
      </c>
      <c r="F18" s="64"/>
      <c r="G18" s="64" t="n">
        <f aca="false">(+'IT Dev'!G18+'IT EOL'!G18)*1.2</f>
        <v>0</v>
      </c>
      <c r="J18" s="0" t="s">
        <v>135</v>
      </c>
      <c r="K18" s="49" t="n">
        <v>57600</v>
      </c>
      <c r="L18" s="49" t="n">
        <v>3</v>
      </c>
      <c r="M18" s="49" t="n">
        <f aca="false">K18*L18</f>
        <v>172800</v>
      </c>
      <c r="O18" s="64" t="n">
        <f aca="false">+G18/$G$29*$O$29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'[16]Team Report'!BA37</f>
        <v>67058.6</v>
      </c>
      <c r="E19" s="64" t="n">
        <f aca="false">+C19/9*12</f>
        <v>89411.4666666667</v>
      </c>
      <c r="F19" s="64"/>
      <c r="G19" s="64" t="n">
        <f aca="false">(+'IT Dev'!G19+'IT EOL'!G19+2775700)*1.2</f>
        <v>6721199.904</v>
      </c>
      <c r="J19" s="0" t="s">
        <v>138</v>
      </c>
      <c r="K19" s="49" t="n">
        <v>60000</v>
      </c>
      <c r="L19" s="49" t="n">
        <v>1</v>
      </c>
      <c r="M19" s="49" t="n">
        <f aca="false">K19*L19</f>
        <v>60000</v>
      </c>
      <c r="O19" s="64" t="n">
        <f aca="false">+G19/$G$29*$O$29</f>
        <v>47668.0844255319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'[16]Team Report'!BA38</f>
        <v>0</v>
      </c>
      <c r="E20" s="64" t="n">
        <f aca="false">+C20/9*12</f>
        <v>0</v>
      </c>
      <c r="F20" s="64"/>
      <c r="G20" s="64" t="n">
        <f aca="false">(+'IT Dev'!G20+'IT EOL'!G20)*1.2</f>
        <v>0</v>
      </c>
      <c r="J20" s="0" t="s">
        <v>141</v>
      </c>
      <c r="K20" s="49" t="n">
        <v>78000</v>
      </c>
      <c r="L20" s="49" t="n">
        <f aca="false">27+1</f>
        <v>28</v>
      </c>
      <c r="M20" s="49" t="n">
        <f aca="false">K20*L20</f>
        <v>2184000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'[16]Team Report'!BA42</f>
        <v>842429.76</v>
      </c>
      <c r="E21" s="64" t="n">
        <f aca="false">+C21/9*12</f>
        <v>1123239.68</v>
      </c>
      <c r="F21" s="64"/>
      <c r="G21" s="64" t="n">
        <f aca="false">(+'IT Dev'!G21+'IT EOL'!G21-7942105)*1.2</f>
        <v>2215166.88</v>
      </c>
      <c r="J21" s="0" t="s">
        <v>144</v>
      </c>
      <c r="K21" s="49" t="n">
        <v>102000</v>
      </c>
      <c r="L21" s="49" t="n">
        <v>62</v>
      </c>
      <c r="M21" s="49" t="n">
        <f aca="false">K21*L21</f>
        <v>6324000</v>
      </c>
      <c r="O21" s="64" t="n">
        <f aca="false">+G21/$G$29*$O$29</f>
        <v>15710.4034042553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'[16]Team Report'!BA44</f>
        <v>6453.7</v>
      </c>
      <c r="E22" s="64" t="n">
        <f aca="false">+C22/9*12</f>
        <v>8604.93333333333</v>
      </c>
      <c r="F22" s="64"/>
      <c r="G22" s="64" t="n">
        <f aca="false">(+'IT Dev'!G22+'IT EOL'!G22)*1.2</f>
        <v>0</v>
      </c>
      <c r="J22" s="0" t="s">
        <v>270</v>
      </c>
      <c r="K22" s="49" t="n">
        <v>192000</v>
      </c>
      <c r="L22" s="49" t="n">
        <v>0</v>
      </c>
      <c r="M22" s="49" t="n">
        <f aca="false">K22*L22</f>
        <v>0</v>
      </c>
      <c r="O22" s="64" t="n">
        <f aca="false">+G22/$G$29*$O$29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18878284.7333333</v>
      </c>
      <c r="F23" s="76"/>
      <c r="G23" s="74" t="n">
        <f aca="false">SUM(G8:G22)</f>
        <v>38286760.32</v>
      </c>
      <c r="J23" s="0" t="s">
        <v>271</v>
      </c>
      <c r="K23" s="49" t="n">
        <v>192000</v>
      </c>
      <c r="L23" s="49" t="n">
        <v>0</v>
      </c>
      <c r="M23" s="49" t="n">
        <f aca="false">K23*L23</f>
        <v>0</v>
      </c>
      <c r="O23" s="74" t="n">
        <f aca="false">SUM(O8:O22)</f>
        <v>271537.307234043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28</v>
      </c>
      <c r="M24" s="49" t="n">
        <f aca="false">K24*L24</f>
        <v>4032000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F25" s="3" t="n">
        <v>40</v>
      </c>
      <c r="G25" s="108" t="n">
        <v>141</v>
      </c>
      <c r="J25" s="0" t="s">
        <v>154</v>
      </c>
      <c r="K25" s="49" t="n">
        <v>168000</v>
      </c>
      <c r="L25" s="49" t="n">
        <v>9</v>
      </c>
      <c r="M25" s="49" t="n">
        <f aca="false">K25*L25</f>
        <v>1512000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155</v>
      </c>
      <c r="K26" s="49" t="n">
        <v>216000</v>
      </c>
      <c r="L26" s="49" t="n">
        <v>8</v>
      </c>
      <c r="M26" s="49" t="n">
        <f aca="false">K26*L26</f>
        <v>1728000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3"/>
      <c r="G27" s="107"/>
      <c r="J27" s="0" t="s">
        <v>156</v>
      </c>
      <c r="K27" s="49" t="n">
        <v>222000</v>
      </c>
      <c r="L27" s="49" t="n">
        <v>1</v>
      </c>
      <c r="M27" s="49" t="n">
        <f aca="false">K27*L27</f>
        <v>222000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f aca="false">+'IT Dev'!L28+'IT EOL'!L28</f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F29" s="3"/>
      <c r="G29" s="107" t="n">
        <f aca="false">SUM(G25:G28)</f>
        <v>141</v>
      </c>
      <c r="L29" s="49" t="n">
        <f aca="false">SUM(L17:L28)</f>
        <v>140</v>
      </c>
      <c r="M29" s="49" t="n">
        <f aca="false">SUM(M17:M28)</f>
        <v>16234800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'[16]Team Report'!BA29</f>
        <v>-24140467.68</v>
      </c>
      <c r="E31" s="64" t="n">
        <v>0</v>
      </c>
      <c r="F31" s="64"/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'[16]Team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'[16]Team Report'!BA31</f>
        <v>0</v>
      </c>
      <c r="E33" s="64" t="n">
        <f aca="false">(C33/9)*12</f>
        <v>0</v>
      </c>
      <c r="F33" s="64"/>
      <c r="J33" s="0" t="s">
        <v>252</v>
      </c>
      <c r="K33" s="49" t="n">
        <v>160000</v>
      </c>
      <c r="L33" s="49" t="n">
        <v>0</v>
      </c>
      <c r="M33" s="49" t="n">
        <f aca="false">K33*L33</f>
        <v>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'[16]Team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'[16]Team Report'!BA40</f>
        <v>164920.93</v>
      </c>
      <c r="E35" s="64" t="n">
        <v>0</v>
      </c>
      <c r="F35" s="64"/>
      <c r="L35" s="49" t="n">
        <f aca="false">+L29+L33</f>
        <v>140</v>
      </c>
      <c r="M35" s="49" t="n">
        <f aca="false">M29*1.2+M33</f>
        <v>19481760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'[16]Team Report'!BA41</f>
        <v>945381.27</v>
      </c>
      <c r="E36" s="64" t="n">
        <v>0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'[16]Team Report'!BA43</f>
        <v>-5121278.52</v>
      </c>
      <c r="E37" s="64" t="n">
        <v>0</v>
      </c>
      <c r="F37" s="64"/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'[16]Team Report'!BA45</f>
        <v>0</v>
      </c>
      <c r="E38" s="64" t="n">
        <f aca="false">(C38/9)*12</f>
        <v>0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0</v>
      </c>
      <c r="F39" s="64"/>
      <c r="I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-13992730.45</v>
      </c>
    </row>
    <row r="46" customFormat="false" ht="12.75" hidden="false" customHeight="false" outlineLevel="0" collapsed="false">
      <c r="B46" s="63" t="s">
        <v>272</v>
      </c>
    </row>
    <row r="47" customFormat="false" ht="12.75" hidden="false" customHeight="false" outlineLevel="0" collapsed="false">
      <c r="B47" s="63" t="s">
        <v>273</v>
      </c>
    </row>
    <row r="48" customFormat="false" ht="12.75" hidden="false" customHeight="false" outlineLevel="0" collapsed="false">
      <c r="B48" s="63" t="s">
        <v>274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50" t="str">
        <f aca="false">'[17]Team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tr">
        <f aca="false">"IT Infrastructure"</f>
        <v>IT Infrastructure</v>
      </c>
      <c r="C2" s="50"/>
      <c r="D2" s="50"/>
      <c r="E2" s="50"/>
      <c r="F2" s="50"/>
      <c r="G2" s="50"/>
      <c r="H2" s="50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0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H6" s="100" t="n">
        <v>2002</v>
      </c>
      <c r="J6" s="88"/>
      <c r="K6" s="80" t="s">
        <v>105</v>
      </c>
      <c r="L6" s="80" t="s">
        <v>106</v>
      </c>
      <c r="M6" s="104" t="s">
        <v>223</v>
      </c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H7" s="61" t="s">
        <v>114</v>
      </c>
      <c r="J7" s="88"/>
      <c r="M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'[17]Team Report'!BA25</f>
        <v>10228335.79</v>
      </c>
      <c r="E8" s="64" t="n">
        <f aca="false">+C8/9*12</f>
        <v>13637781.0533333</v>
      </c>
      <c r="H8" s="64" t="n">
        <f aca="false">(+M29)*1.2</f>
        <v>8413920</v>
      </c>
      <c r="J8" s="88"/>
      <c r="M8" s="59"/>
      <c r="Q8" s="64" t="n">
        <f aca="false">+H8/$H$29*$Q$29</f>
        <v>142608.813559322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H9" s="64" t="n">
        <f aca="false">((F9/9)*12)*1.2</f>
        <v>0</v>
      </c>
      <c r="J9" s="88" t="s">
        <v>116</v>
      </c>
      <c r="K9" s="49" t="n">
        <v>0</v>
      </c>
      <c r="L9" s="49" t="n">
        <f aca="false">+L35</f>
        <v>67</v>
      </c>
      <c r="M9" s="59" t="n">
        <f aca="false">M35</f>
        <v>9949920</v>
      </c>
      <c r="Q9" s="64" t="n">
        <f aca="false">+H9/$H$29*$Q$29</f>
        <v>0</v>
      </c>
    </row>
    <row r="10" customFormat="false" ht="12.75" hidden="tru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H10" s="64" t="n">
        <f aca="false">((F10/9)*12)*1.2</f>
        <v>0</v>
      </c>
      <c r="J10" s="88"/>
      <c r="M10" s="59"/>
      <c r="Q10" s="64" t="n">
        <f aca="false">+H10/$H$29*$Q$29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'[17]Team Report'!BA26</f>
        <v>1877442.13</v>
      </c>
      <c r="E11" s="64" t="n">
        <f aca="false">(C11/9)*12</f>
        <v>2503256.17333333</v>
      </c>
      <c r="H11" s="64" t="n">
        <f aca="false">(+H8*0.2)*1.2</f>
        <v>2019340.8</v>
      </c>
      <c r="J11" s="88"/>
      <c r="M11" s="59"/>
      <c r="Q11" s="64" t="n">
        <f aca="false">+H11/$H$29*$Q$29</f>
        <v>34226.1152542373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'[17]Team Report'!BA27</f>
        <v>405632.98</v>
      </c>
      <c r="E12" s="64" t="n">
        <f aca="false">(C12/9)*12</f>
        <v>540843.973333333</v>
      </c>
      <c r="H12" s="64" t="n">
        <f aca="false">((2485728*0.35+1000000)*0.559633027522936)*1.2</f>
        <v>1255819.73724771</v>
      </c>
      <c r="J12" s="88" t="s">
        <v>78</v>
      </c>
      <c r="K12" s="49" t="n">
        <f aca="false">18495*1.2</f>
        <v>22194</v>
      </c>
      <c r="L12" s="49" t="n">
        <f aca="false">+L35</f>
        <v>67</v>
      </c>
      <c r="M12" s="59" t="n">
        <f aca="false">K12*L12+32600125</f>
        <v>34087123</v>
      </c>
      <c r="Q12" s="64" t="n">
        <f aca="false">+H12/$H$29*$Q$29</f>
        <v>21285.080292334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'[17]Team Report'!BA28</f>
        <v>648740.17</v>
      </c>
      <c r="E13" s="64" t="n">
        <f aca="false">(C13/9)*12</f>
        <v>864986.893333333</v>
      </c>
      <c r="H13" s="64" t="n">
        <f aca="false">((2485728*0.13+1000000)*0.559633027522936)*1.2</f>
        <v>888570.528880734</v>
      </c>
      <c r="J13" s="88"/>
      <c r="M13" s="59"/>
      <c r="Q13" s="64" t="n">
        <f aca="false">+H13/$H$29*$Q$29</f>
        <v>15060.5174386565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H14" s="64" t="n">
        <v>2400000</v>
      </c>
      <c r="J14" s="93" t="s">
        <v>125</v>
      </c>
      <c r="K14" s="70"/>
      <c r="L14" s="70"/>
      <c r="M14" s="71" t="n">
        <f aca="false">SUM(M9:M12)</f>
        <v>44037043</v>
      </c>
      <c r="Q14" s="64" t="n">
        <f aca="false">+H14/$H$29*$Q$29</f>
        <v>40677.9661016949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'[17]Team Report'!BA33</f>
        <v>76876.32</v>
      </c>
      <c r="E15" s="64" t="n">
        <f aca="false">(C15/9)*12</f>
        <v>102501.76</v>
      </c>
      <c r="H15" s="64" t="n">
        <f aca="false">((2485728*0.08+100000)*0.559633027522936)*1.2</f>
        <v>200701.129981651</v>
      </c>
      <c r="J15" s="26"/>
      <c r="Q15" s="64" t="n">
        <f aca="false">+H15/$H$29*$Q$29</f>
        <v>3401.71406748562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'[17]Team Report'!BA34</f>
        <v>0</v>
      </c>
      <c r="E16" s="64" t="n">
        <f aca="false">(C16/9)*12</f>
        <v>0</v>
      </c>
      <c r="H16" s="64" t="n">
        <v>0</v>
      </c>
      <c r="J16" s="26"/>
      <c r="L16" s="106"/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'[17]Team Report'!BA35</f>
        <v>0</v>
      </c>
      <c r="E17" s="64" t="n">
        <f aca="false">(C17/9)*12</f>
        <v>0</v>
      </c>
      <c r="H17" s="64" t="n">
        <v>0</v>
      </c>
      <c r="J17" s="0" t="s">
        <v>197</v>
      </c>
      <c r="K17" s="49" t="n">
        <v>49200</v>
      </c>
      <c r="L17" s="49" t="n">
        <v>0</v>
      </c>
      <c r="M17" s="49" t="n">
        <f aca="false">K17*L17</f>
        <v>0</v>
      </c>
      <c r="Q17" s="64" t="n">
        <f aca="false">+H17/$H$29*$Q$29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'[17]Team Report'!BA36</f>
        <v>5744.1</v>
      </c>
      <c r="E18" s="64" t="n">
        <f aca="false">(C18/9)*12</f>
        <v>7658.8</v>
      </c>
      <c r="H18" s="64" t="n">
        <v>2323200</v>
      </c>
      <c r="J18" s="0" t="s">
        <v>135</v>
      </c>
      <c r="K18" s="49" t="n">
        <v>57600</v>
      </c>
      <c r="L18" s="49" t="n">
        <v>1</v>
      </c>
      <c r="M18" s="49" t="n">
        <f aca="false">K18*L18</f>
        <v>57600</v>
      </c>
      <c r="Q18" s="64" t="n">
        <f aca="false">+H18/$H$29*$Q$29</f>
        <v>39376.2711864407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'[17]Team Report'!BA37</f>
        <v>67058.6</v>
      </c>
      <c r="E19" s="64" t="n">
        <f aca="false">(C19/9)*12</f>
        <v>89411.4666666667</v>
      </c>
      <c r="H19" s="64" t="n">
        <f aca="false">((2485728*0.29+2500000)*0.559633027522936+3445700)*1.2</f>
        <v>6297840.31177982</v>
      </c>
      <c r="J19" s="0" t="s">
        <v>138</v>
      </c>
      <c r="K19" s="49" t="n">
        <v>60000</v>
      </c>
      <c r="L19" s="49" t="n">
        <v>2</v>
      </c>
      <c r="M19" s="49" t="n">
        <f aca="false">K19*L19</f>
        <v>120000</v>
      </c>
      <c r="Q19" s="64" t="n">
        <f aca="false">+H19/$H$29*$Q$29</f>
        <v>106743.056131861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'[17]Team Report'!BA38</f>
        <v>0</v>
      </c>
      <c r="E20" s="64" t="n">
        <f aca="false">(C20/9)*12</f>
        <v>0</v>
      </c>
      <c r="H20" s="64" t="n">
        <v>0</v>
      </c>
      <c r="J20" s="0" t="s">
        <v>141</v>
      </c>
      <c r="K20" s="49" t="n">
        <v>78000</v>
      </c>
      <c r="L20" s="49" t="n">
        <v>9</v>
      </c>
      <c r="M20" s="49" t="n">
        <f aca="false">K20*L20</f>
        <v>702000</v>
      </c>
      <c r="Q20" s="64" t="n">
        <f aca="false">+H20/$H$29*$Q$29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'[17]Team Report'!BA42</f>
        <v>842429.76</v>
      </c>
      <c r="E21" s="64" t="n">
        <f aca="false">(C21/9)*12+32600125</f>
        <v>33723364.68</v>
      </c>
      <c r="H21" s="64" t="n">
        <f aca="false">(2485728*0.15+2500000+35100000-32660209)*1.2</f>
        <v>6375180.24</v>
      </c>
      <c r="J21" s="0" t="s">
        <v>144</v>
      </c>
      <c r="K21" s="49" t="n">
        <v>102000</v>
      </c>
      <c r="L21" s="49" t="n">
        <v>25</v>
      </c>
      <c r="M21" s="49" t="n">
        <f aca="false">K21*L21</f>
        <v>2550000</v>
      </c>
      <c r="Q21" s="64" t="n">
        <f aca="false">+H21/$H$29*$Q$29</f>
        <v>108053.902372881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'[17]Team Report'!BA44</f>
        <v>6453.7</v>
      </c>
      <c r="E22" s="64" t="n">
        <f aca="false">(C22/9)*12</f>
        <v>8604.93333333333</v>
      </c>
      <c r="H22" s="64" t="n">
        <f aca="false">((F22/9)*12)*1.2</f>
        <v>0</v>
      </c>
      <c r="J22" s="0" t="s">
        <v>147</v>
      </c>
      <c r="K22" s="49" t="n">
        <v>0</v>
      </c>
      <c r="L22" s="49" t="n">
        <v>0</v>
      </c>
      <c r="M22" s="49" t="n">
        <f aca="false">K22*L22</f>
        <v>0</v>
      </c>
      <c r="Q22" s="64" t="n">
        <f aca="false">+H22/$H$29*$Q$29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51478409.7333333</v>
      </c>
      <c r="H23" s="74" t="n">
        <f aca="false">SUM(H8:H22)</f>
        <v>30174572.7478899</v>
      </c>
      <c r="J23" s="0" t="s">
        <v>271</v>
      </c>
      <c r="K23" s="49" t="n">
        <v>192000</v>
      </c>
      <c r="L23" s="49" t="n">
        <v>0</v>
      </c>
      <c r="M23" s="49" t="n">
        <f aca="false">K23*L23</f>
        <v>0</v>
      </c>
      <c r="Q23" s="74" t="n">
        <f aca="false">SUM(Q8:Q22)</f>
        <v>511433.436404914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15</v>
      </c>
      <c r="M24" s="49" t="n">
        <f aca="false">K24*L24</f>
        <v>2160000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F25" s="0" t="n">
        <v>40</v>
      </c>
      <c r="H25" s="108" t="n">
        <f aca="false">+L29-1</f>
        <v>58</v>
      </c>
      <c r="J25" s="0" t="s">
        <v>154</v>
      </c>
      <c r="K25" s="49" t="n">
        <v>168000</v>
      </c>
      <c r="L25" s="49" t="n">
        <v>2</v>
      </c>
      <c r="M25" s="49" t="n">
        <f aca="false">K25*L25</f>
        <v>336000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J26" s="0" t="s">
        <v>155</v>
      </c>
      <c r="K26" s="49" t="n">
        <v>216000</v>
      </c>
      <c r="L26" s="49" t="n">
        <v>4</v>
      </c>
      <c r="M26" s="49" t="n">
        <f aca="false">K26*L26</f>
        <v>864000</v>
      </c>
      <c r="Q26" s="64"/>
    </row>
    <row r="27" customFormat="false" ht="12.75" hidden="false" customHeight="false" outlineLevel="0" collapsed="false">
      <c r="B27" s="73" t="s">
        <v>157</v>
      </c>
      <c r="C27" s="107"/>
      <c r="E27" s="107"/>
      <c r="H27" s="107" t="n">
        <v>1</v>
      </c>
      <c r="J27" s="0" t="s">
        <v>156</v>
      </c>
      <c r="K27" s="49" t="n">
        <v>222000</v>
      </c>
      <c r="L27" s="49" t="n">
        <v>1</v>
      </c>
      <c r="M27" s="49" t="n">
        <f aca="false">K27*L27</f>
        <v>222000</v>
      </c>
      <c r="Q27" s="77" t="n">
        <f aca="false">+T21+T22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H29" s="107" t="n">
        <f aca="false">SUM(H25:H28)</f>
        <v>59</v>
      </c>
      <c r="L29" s="49" t="n">
        <f aca="false">SUM(L17:L28)</f>
        <v>59</v>
      </c>
      <c r="M29" s="49" t="n">
        <f aca="false">SUM(M17:M28)</f>
        <v>7011600</v>
      </c>
      <c r="Q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'[17]Team Report'!BA29</f>
        <v>-24140467.68</v>
      </c>
      <c r="E31" s="64" t="n">
        <v>0</v>
      </c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'[17]Team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'[17]Team Report'!BA31</f>
        <v>0</v>
      </c>
      <c r="E33" s="64" t="n">
        <f aca="false">(C33/9)*12</f>
        <v>0</v>
      </c>
      <c r="J33" s="0" t="s">
        <v>252</v>
      </c>
      <c r="K33" s="49" t="n">
        <v>192000</v>
      </c>
      <c r="L33" s="49" t="n">
        <v>8</v>
      </c>
      <c r="M33" s="49" t="n">
        <f aca="false">K33*L33</f>
        <v>1536000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'[17]Team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'[17]Team Report'!BA40</f>
        <v>164920.93</v>
      </c>
      <c r="E35" s="64" t="n">
        <v>0</v>
      </c>
      <c r="L35" s="49" t="n">
        <f aca="false">+L29+L33</f>
        <v>67</v>
      </c>
      <c r="M35" s="49" t="n">
        <f aca="false">M29*1.2+M33</f>
        <v>9949920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'[17]Team Report'!BA41</f>
        <v>945381.27</v>
      </c>
      <c r="E36" s="64" t="n">
        <v>0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'[17]Team Report'!BA43</f>
        <v>-5121278.52</v>
      </c>
      <c r="E37" s="64" t="n">
        <v>0</v>
      </c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'[17]Team Report'!BA45</f>
        <v>0</v>
      </c>
      <c r="E38" s="64" t="n">
        <f aca="false">(C38/9)*12</f>
        <v>0</v>
      </c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0</v>
      </c>
      <c r="I39" s="0" t="s">
        <v>253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63" t="s">
        <v>275</v>
      </c>
    </row>
    <row r="43" customFormat="false" ht="12.75" hidden="false" customHeight="false" outlineLevel="0" collapsed="false">
      <c r="B43" s="63" t="s">
        <v>276</v>
      </c>
    </row>
    <row r="44" customFormat="false" ht="12.75" hidden="false" customHeight="false" outlineLevel="0" collapsed="false">
      <c r="B44" s="63" t="s">
        <v>277</v>
      </c>
      <c r="C44" s="102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49" width="10.41"/>
    <col collapsed="false" customWidth="true" hidden="true" outlineLevel="0" max="13" min="13" style="49" width="10.85"/>
    <col collapsed="false" customWidth="true" hidden="true" outlineLevel="0" max="14" min="14" style="4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2"/>
      <c r="L1" s="51"/>
      <c r="M1" s="51"/>
      <c r="N1" s="5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63</v>
      </c>
      <c r="C2" s="50"/>
      <c r="D2" s="50"/>
      <c r="E2" s="50"/>
      <c r="F2" s="50"/>
      <c r="G2" s="50"/>
      <c r="H2" s="52"/>
      <c r="I2" s="52"/>
      <c r="J2" s="52"/>
      <c r="K2" s="52"/>
      <c r="L2" s="51"/>
      <c r="M2" s="51"/>
      <c r="N2" s="51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4"/>
      <c r="J3" s="54"/>
      <c r="K3" s="54"/>
      <c r="L3" s="51"/>
      <c r="M3" s="51"/>
      <c r="N3" s="51"/>
      <c r="O3" s="54"/>
      <c r="P3" s="53"/>
      <c r="Q3" s="53"/>
      <c r="R3" s="53"/>
      <c r="S3" s="53"/>
      <c r="T3" s="53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K4" s="103"/>
      <c r="L4" s="103"/>
      <c r="M4" s="103"/>
      <c r="N4" s="103"/>
      <c r="P4" s="10"/>
      <c r="Q4" s="10"/>
      <c r="R4" s="10"/>
      <c r="S4" s="10"/>
      <c r="T4" s="26"/>
    </row>
    <row r="5" customFormat="false" ht="12.75" hidden="false" customHeight="false" outlineLevel="0" collapsed="false">
      <c r="K5" s="85"/>
      <c r="L5" s="56"/>
      <c r="M5" s="56"/>
      <c r="N5" s="57"/>
      <c r="O5" s="26"/>
      <c r="P5" s="26"/>
      <c r="Q5" s="49"/>
      <c r="R5" s="49"/>
      <c r="S5" s="49"/>
      <c r="T5" s="26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I6" s="60"/>
      <c r="K6" s="88"/>
      <c r="L6" s="80" t="s">
        <v>105</v>
      </c>
      <c r="M6" s="80" t="s">
        <v>106</v>
      </c>
      <c r="N6" s="104" t="s">
        <v>223</v>
      </c>
      <c r="O6" s="100" t="n">
        <v>2002</v>
      </c>
      <c r="P6" s="26"/>
      <c r="Q6" s="80"/>
      <c r="R6" s="80"/>
      <c r="S6" s="80"/>
      <c r="T6" s="26"/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112</v>
      </c>
      <c r="I7" s="61"/>
      <c r="K7" s="88"/>
      <c r="N7" s="59"/>
      <c r="O7" s="61" t="s">
        <v>114</v>
      </c>
      <c r="P7" s="26"/>
      <c r="Q7" s="49"/>
      <c r="R7" s="49"/>
      <c r="S7" s="49"/>
      <c r="T7" s="26"/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(C8/9)*12</f>
        <v>6647336.30666667</v>
      </c>
      <c r="F8" s="64"/>
      <c r="G8" s="64" t="n">
        <f aca="false">(SUM(N17:N19,N21:N27)+172800+561516)*1.2</f>
        <v>4232059.2</v>
      </c>
      <c r="K8" s="88"/>
      <c r="N8" s="59"/>
      <c r="O8" s="64" t="n">
        <f aca="false">+G8/$G$29*$O$29</f>
        <v>108514.338461538</v>
      </c>
      <c r="P8" s="26"/>
      <c r="Q8" s="49"/>
      <c r="R8" s="49"/>
      <c r="S8" s="49"/>
      <c r="T8" s="26"/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/>
      <c r="G9" s="64" t="n">
        <f aca="false">((E9/9)*12)*1.2</f>
        <v>0</v>
      </c>
      <c r="K9" s="88" t="s">
        <v>116</v>
      </c>
      <c r="L9" s="49" t="n">
        <v>0</v>
      </c>
      <c r="M9" s="49" t="n">
        <f aca="false">M28</f>
        <v>39</v>
      </c>
      <c r="N9" s="59" t="n">
        <f aca="false">N32</f>
        <v>3558240</v>
      </c>
      <c r="O9" s="64" t="n">
        <f aca="false">+G9/$G$29*$O$29</f>
        <v>0</v>
      </c>
      <c r="P9" s="26"/>
      <c r="Q9" s="49"/>
      <c r="R9" s="49"/>
      <c r="S9" s="49"/>
      <c r="T9" s="26"/>
    </row>
    <row r="10" customFormat="false" ht="12.75" hidden="tru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F10" s="64"/>
      <c r="G10" s="64" t="n">
        <v>0</v>
      </c>
      <c r="K10" s="88"/>
      <c r="N10" s="59"/>
      <c r="O10" s="64" t="n">
        <f aca="false">+G10/$G$29*$O$29</f>
        <v>0</v>
      </c>
      <c r="P10" s="26"/>
      <c r="Q10" s="49"/>
      <c r="R10" s="49"/>
      <c r="S10" s="49"/>
      <c r="T10" s="26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(C11/9)*12</f>
        <v>1613708.14666667</v>
      </c>
      <c r="F11" s="64"/>
      <c r="G11" s="64" t="n">
        <f aca="false">(SUM(G8:G10)*0.2+49374)*1.2</f>
        <v>1074943.008</v>
      </c>
      <c r="K11" s="88"/>
      <c r="N11" s="59"/>
      <c r="O11" s="64" t="n">
        <f aca="false">+G11/$G$29*$O$29</f>
        <v>27562.6412307692</v>
      </c>
      <c r="P11" s="26"/>
      <c r="Q11" s="49"/>
      <c r="R11" s="49"/>
      <c r="S11" s="49"/>
      <c r="T11" s="26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((C12/9)*12)*1.99</f>
        <v>504212.853733333</v>
      </c>
      <c r="F12" s="64"/>
      <c r="G12" s="64" t="n">
        <f aca="false">(348924+240000-409440+61200)*1.2</f>
        <v>288820.8</v>
      </c>
      <c r="K12" s="88" t="s">
        <v>78</v>
      </c>
      <c r="L12" s="49" t="n">
        <f aca="false">(E12+E13+E14+E15+E16+E17+E18+E19+E20+E21+E22)/E29</f>
        <v>10001.2649254237</v>
      </c>
      <c r="M12" s="49" t="n">
        <f aca="false">M28</f>
        <v>39</v>
      </c>
      <c r="N12" s="59" t="n">
        <f aca="false">L12*M12+500000+630554</f>
        <v>1520603.33209153</v>
      </c>
      <c r="O12" s="64" t="n">
        <f aca="false">+G12/$G$29*$O$29</f>
        <v>7405.66153846154</v>
      </c>
      <c r="P12" s="26"/>
      <c r="Q12" s="49"/>
      <c r="R12" s="49"/>
      <c r="S12" s="49"/>
      <c r="T12" s="26"/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((C13/9)*12)*2.35</f>
        <v>245623.817333333</v>
      </c>
      <c r="F13" s="64"/>
      <c r="G13" s="64" t="n">
        <f aca="false">(262411+100000-5411)*1.2</f>
        <v>428400</v>
      </c>
      <c r="K13" s="88"/>
      <c r="N13" s="59"/>
      <c r="O13" s="64" t="n">
        <f aca="false">+G13/$G$29*$O$29</f>
        <v>10984.6153846154</v>
      </c>
      <c r="P13" s="26"/>
      <c r="Q13" s="49"/>
      <c r="R13" s="49"/>
      <c r="S13" s="49"/>
      <c r="T13" s="26"/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((C14/9)*12)*1.2</f>
        <v>0</v>
      </c>
      <c r="F14" s="64"/>
      <c r="G14" s="64" t="n">
        <v>30600</v>
      </c>
      <c r="K14" s="93" t="s">
        <v>125</v>
      </c>
      <c r="L14" s="70"/>
      <c r="M14" s="70"/>
      <c r="N14" s="71" t="n">
        <f aca="false">SUM(N9:N12)</f>
        <v>5078843.33209153</v>
      </c>
      <c r="O14" s="64" t="n">
        <f aca="false">+G14/$G$29*$O$29</f>
        <v>784.615384615385</v>
      </c>
      <c r="P14" s="26"/>
      <c r="Q14" s="49"/>
      <c r="R14" s="49"/>
      <c r="S14" s="49"/>
      <c r="T14" s="26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((C15/9)*12)*1.81</f>
        <v>168744.2004</v>
      </c>
      <c r="F15" s="64"/>
      <c r="G15" s="64" t="n">
        <f aca="false">(96365+40000-136365+92328)*1.2</f>
        <v>110793.6</v>
      </c>
      <c r="K15" s="26"/>
      <c r="O15" s="64" t="n">
        <f aca="false">+G15/$G$29*$O$29</f>
        <v>2840.86153846154</v>
      </c>
      <c r="P15" s="26"/>
      <c r="Q15" s="26"/>
      <c r="R15" s="26"/>
      <c r="S15" s="26"/>
      <c r="T15" s="26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((C16/9)*12)*1.2</f>
        <v>0</v>
      </c>
      <c r="F16" s="64"/>
      <c r="G16" s="64" t="n">
        <v>408000</v>
      </c>
      <c r="K16" s="26"/>
      <c r="O16" s="64" t="n">
        <f aca="false">+G16/$G$29*$O$29</f>
        <v>10461.5384615385</v>
      </c>
      <c r="P16" s="26"/>
      <c r="Q16" s="26"/>
      <c r="R16" s="26"/>
      <c r="S16" s="26"/>
      <c r="T16" s="26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((C17/9)*12)*1.2</f>
        <v>0</v>
      </c>
      <c r="F17" s="64"/>
      <c r="G17" s="64" t="n">
        <v>0</v>
      </c>
      <c r="K17" s="26" t="s">
        <v>197</v>
      </c>
      <c r="L17" s="49" t="n">
        <v>36000</v>
      </c>
      <c r="M17" s="0" t="n">
        <v>0</v>
      </c>
      <c r="N17" s="49" t="n">
        <f aca="false">L17*M17</f>
        <v>0</v>
      </c>
      <c r="O17" s="64" t="n">
        <f aca="false">+G17/$G$29*$O$29</f>
        <v>0</v>
      </c>
      <c r="P17" s="26"/>
      <c r="Q17" s="49"/>
      <c r="R17" s="26"/>
      <c r="S17" s="111"/>
      <c r="T17" s="26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((C18/9)*12)*1.29</f>
        <v>32748.2324</v>
      </c>
      <c r="F18" s="64"/>
      <c r="G18" s="64" t="n">
        <f aca="false">(6000)*1.2</f>
        <v>7200</v>
      </c>
      <c r="K18" s="0" t="s">
        <v>256</v>
      </c>
      <c r="L18" s="49" t="n">
        <v>48000</v>
      </c>
      <c r="M18" s="0" t="n">
        <v>2</v>
      </c>
      <c r="N18" s="49" t="n">
        <f aca="false">L18*M18</f>
        <v>96000</v>
      </c>
      <c r="O18" s="64" t="n">
        <f aca="false">+G18/$G$29*$O$29</f>
        <v>184.615384615385</v>
      </c>
      <c r="Q18" s="49"/>
      <c r="S18" s="66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f aca="false">((C19/9)*12)*2.2</f>
        <v>51104.592</v>
      </c>
      <c r="F19" s="64"/>
      <c r="G19" s="64" t="n">
        <f aca="false">(+$N$12*0.19+150000-438915+107240+169200+435536)*1.2</f>
        <v>854370.759716868</v>
      </c>
      <c r="K19" s="0" t="s">
        <v>138</v>
      </c>
      <c r="L19" s="49" t="n">
        <v>49200</v>
      </c>
      <c r="M19" s="0" t="n">
        <v>7</v>
      </c>
      <c r="N19" s="49" t="n">
        <f aca="false">L19*M19</f>
        <v>344400</v>
      </c>
      <c r="O19" s="64" t="n">
        <f aca="false">+G19/$G$29*$O$29</f>
        <v>21906.9425568428</v>
      </c>
      <c r="Q19" s="49"/>
      <c r="S19" s="66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((C20/9)*12)*1.2</f>
        <v>0</v>
      </c>
      <c r="F20" s="64"/>
      <c r="G20" s="64" t="n">
        <v>0</v>
      </c>
      <c r="K20" s="0" t="s">
        <v>257</v>
      </c>
      <c r="L20" s="49" t="n">
        <v>57600</v>
      </c>
      <c r="M20" s="0" t="n">
        <v>3</v>
      </c>
      <c r="N20" s="49" t="n">
        <f aca="false">L20*M20</f>
        <v>172800</v>
      </c>
      <c r="O20" s="64" t="n">
        <f aca="false">+G20/$G$29*$O$29</f>
        <v>0</v>
      </c>
      <c r="Q20" s="49"/>
      <c r="S20" s="66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((C21/9)*12)*1.75</f>
        <v>175099.586666667</v>
      </c>
      <c r="F21" s="64"/>
      <c r="G21" s="64" t="n">
        <f aca="false">(264168+100000+405121-769289+553800+420160+443302)*1.2</f>
        <v>1700714.4</v>
      </c>
      <c r="K21" s="0" t="s">
        <v>141</v>
      </c>
      <c r="L21" s="49" t="n">
        <v>62400</v>
      </c>
      <c r="M21" s="0" t="n">
        <v>8</v>
      </c>
      <c r="N21" s="49" t="n">
        <f aca="false">L21*M21</f>
        <v>499200</v>
      </c>
      <c r="O21" s="64" t="n">
        <f aca="false">+G21/$G$29*$O$29</f>
        <v>43608.0615384615</v>
      </c>
      <c r="Q21" s="49"/>
      <c r="S21" s="66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((C22/9)*12)*1.6</f>
        <v>2615.97866666667</v>
      </c>
      <c r="F22" s="64"/>
      <c r="G22" s="64" t="n">
        <v>0</v>
      </c>
      <c r="K22" s="0" t="s">
        <v>258</v>
      </c>
      <c r="L22" s="49" t="n">
        <v>74400</v>
      </c>
      <c r="M22" s="0" t="n">
        <v>7</v>
      </c>
      <c r="N22" s="49" t="n">
        <f aca="false">L22*M22</f>
        <v>520800</v>
      </c>
      <c r="O22" s="64" t="n">
        <f aca="false">+G22/$G$29*$O$29</f>
        <v>0</v>
      </c>
      <c r="Q22" s="49"/>
      <c r="S22" s="66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4" t="n">
        <f aca="false">SUM(E8:E22)</f>
        <v>9441193.71453334</v>
      </c>
      <c r="F23" s="76"/>
      <c r="G23" s="74" t="n">
        <f aca="false">SUM(G8:G22)</f>
        <v>9135901.76771687</v>
      </c>
      <c r="K23" s="0" t="s">
        <v>259</v>
      </c>
      <c r="L23" s="49" t="n">
        <v>96000</v>
      </c>
      <c r="M23" s="0" t="n">
        <v>8</v>
      </c>
      <c r="N23" s="49" t="n">
        <f aca="false">L23*M23</f>
        <v>768000</v>
      </c>
      <c r="O23" s="74" t="n">
        <f aca="false">SUM(O8:O22)</f>
        <v>234253.89147992</v>
      </c>
      <c r="Q23" s="49"/>
      <c r="S23" s="66"/>
    </row>
    <row r="24" customFormat="false" ht="12.75" hidden="false" customHeight="false" outlineLevel="0" collapsed="false">
      <c r="K24" s="0" t="s">
        <v>260</v>
      </c>
      <c r="L24" s="49" t="n">
        <v>120000</v>
      </c>
      <c r="M24" s="0" t="n">
        <v>3</v>
      </c>
      <c r="N24" s="49" t="n">
        <f aca="false">L24*M24</f>
        <v>360000</v>
      </c>
      <c r="Q24" s="49"/>
      <c r="S24" s="66"/>
    </row>
    <row r="25" customFormat="false" ht="12.75" hidden="false" customHeight="false" outlineLevel="0" collapsed="false">
      <c r="B25" s="73" t="s">
        <v>7</v>
      </c>
      <c r="C25" s="107"/>
      <c r="E25" s="107" t="n">
        <v>114</v>
      </c>
      <c r="F25" s="3"/>
      <c r="G25" s="107" t="n">
        <f aca="false">SUM(M17:M19,M21:M27)</f>
        <v>36</v>
      </c>
      <c r="K25" s="0" t="s">
        <v>261</v>
      </c>
      <c r="L25" s="49" t="n">
        <v>156000</v>
      </c>
      <c r="M25" s="0" t="n">
        <v>0</v>
      </c>
      <c r="N25" s="49" t="n">
        <f aca="false">L25*M25</f>
        <v>0</v>
      </c>
      <c r="O25" s="77" t="n">
        <f aca="false">SUM(U16:U20,U23:U27)</f>
        <v>0</v>
      </c>
      <c r="Q25" s="49"/>
      <c r="S25" s="66"/>
    </row>
    <row r="26" customFormat="false" ht="12.75" hidden="false" customHeight="false" outlineLevel="0" collapsed="false">
      <c r="K26" s="0" t="s">
        <v>262</v>
      </c>
      <c r="L26" s="49" t="n">
        <v>204000</v>
      </c>
      <c r="M26" s="0" t="n">
        <v>1</v>
      </c>
      <c r="N26" s="49" t="n">
        <f aca="false">L26*M26</f>
        <v>204000</v>
      </c>
      <c r="O26" s="64"/>
      <c r="Q26" s="49"/>
      <c r="S26" s="66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F27" s="3"/>
      <c r="G27" s="107" t="n">
        <f aca="false">SUM(M20)</f>
        <v>3</v>
      </c>
      <c r="K27" s="0" t="s">
        <v>263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  <c r="Q27" s="49"/>
      <c r="S27" s="66"/>
    </row>
    <row r="28" customFormat="false" ht="12.75" hidden="false" customHeight="false" outlineLevel="0" collapsed="false">
      <c r="M28" s="49" t="n">
        <f aca="false">SUM(M17:M27)</f>
        <v>39</v>
      </c>
      <c r="N28" s="49" t="n">
        <f aca="false">SUM(N17:N27)</f>
        <v>2965200</v>
      </c>
      <c r="Q28" s="49"/>
      <c r="S28" s="66"/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118</v>
      </c>
      <c r="F29" s="3"/>
      <c r="G29" s="107" t="n">
        <f aca="false">SUM(G25:G28)</f>
        <v>39</v>
      </c>
      <c r="O29" s="77" t="n">
        <v>1</v>
      </c>
      <c r="Q29" s="49"/>
      <c r="R29" s="49"/>
    </row>
    <row r="30" customFormat="false" ht="12.75" hidden="false" customHeight="false" outlineLevel="0" collapsed="false">
      <c r="B30" s="73"/>
      <c r="K30" s="0" t="s">
        <v>247</v>
      </c>
      <c r="M30" s="78"/>
      <c r="N30" s="78" t="n">
        <v>0.2</v>
      </c>
      <c r="Q30" s="49"/>
      <c r="R30" s="78"/>
      <c r="S30" s="78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F31" s="64"/>
      <c r="G31" s="64"/>
      <c r="Q31" s="49"/>
      <c r="R31" s="49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  <c r="F32" s="64"/>
      <c r="G32" s="64"/>
      <c r="N32" s="49" t="n">
        <f aca="false">N28*1.2</f>
        <v>3558240</v>
      </c>
      <c r="Q32" s="49"/>
      <c r="R32" s="49"/>
      <c r="S32" s="49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F33" s="64"/>
      <c r="G33" s="64"/>
      <c r="Q33" s="49"/>
      <c r="R33" s="49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  <c r="F34" s="64"/>
      <c r="G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  <c r="F35" s="64"/>
      <c r="G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  <c r="F36" s="64"/>
      <c r="G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F37" s="64"/>
      <c r="G37" s="64"/>
      <c r="J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  <c r="F38" s="64"/>
      <c r="G38" s="64"/>
    </row>
    <row r="39" customFormat="false" ht="12.75" hidden="false" customHeight="false" outlineLevel="0" collapsed="false">
      <c r="A39" s="62"/>
      <c r="B39" s="63"/>
      <c r="C39" s="64"/>
      <c r="E39" s="64"/>
      <c r="F39" s="64"/>
      <c r="G39" s="64"/>
      <c r="J39" s="0" t="s">
        <v>253</v>
      </c>
    </row>
    <row r="44" customFormat="false" ht="12.75" hidden="false" customHeight="false" outlineLevel="0" collapsed="false">
      <c r="C44" s="102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50" t="str">
        <f aca="false">'[18]Team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customFormat="false" ht="18" hidden="false" customHeight="false" outlineLevel="0" collapsed="false">
      <c r="B2" s="50" t="str">
        <f aca="false">'[18]Pull Sheet'!E9</f>
        <v>Canada Support</v>
      </c>
      <c r="C2" s="50"/>
      <c r="D2" s="50"/>
      <c r="E2" s="50"/>
      <c r="F2" s="50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customFormat="false" ht="18.75" hidden="false" customHeight="false" outlineLevel="0" collapsed="false">
      <c r="B3" s="50" t="s">
        <v>1</v>
      </c>
      <c r="C3" s="50"/>
      <c r="D3" s="50"/>
      <c r="E3" s="50"/>
      <c r="F3" s="50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100" t="n">
        <v>2002</v>
      </c>
      <c r="J6" s="88"/>
      <c r="K6" s="26"/>
      <c r="L6" s="26"/>
      <c r="M6" s="89"/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16"/>
      <c r="J7" s="88"/>
      <c r="K7" s="26"/>
      <c r="L7" s="26"/>
      <c r="M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'[18]Team Report'!BA25</f>
        <v>3097005.18</v>
      </c>
      <c r="E8" s="64" t="n">
        <f aca="false">(C8/9)*12</f>
        <v>4129340.24</v>
      </c>
      <c r="F8" s="64" t="n">
        <f aca="false">(SUM(M16:M21,M25:M27,M31:M36,M40:M42,M46,M49:M50)-1205200)*1.2</f>
        <v>2400000</v>
      </c>
      <c r="J8" s="88" t="s">
        <v>116</v>
      </c>
      <c r="K8" s="49" t="n">
        <v>0</v>
      </c>
      <c r="L8" s="26"/>
      <c r="M8" s="92" t="n">
        <f aca="false">M22+M28+M37+M43+M47+M51</f>
        <v>3846240</v>
      </c>
      <c r="O8" s="64" t="n">
        <f aca="false">+F8/$F$29*$O$29</f>
        <v>72727.2727272727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((D9/9)*12)*1.2</f>
        <v>0</v>
      </c>
      <c r="J9" s="88"/>
      <c r="K9" s="26"/>
      <c r="L9" s="26"/>
      <c r="M9" s="89"/>
      <c r="O9" s="64" t="n">
        <f aca="false">+F9/$F$29*$O$29</f>
        <v>0</v>
      </c>
    </row>
    <row r="10" customFormat="false" ht="12.75" hidden="true" customHeight="fals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((D10/9)*12)*1.2</f>
        <v>0</v>
      </c>
      <c r="J10" s="88"/>
      <c r="K10" s="26"/>
      <c r="L10" s="26"/>
      <c r="M10" s="8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'[18]Team Report'!BA26</f>
        <v>405010.4</v>
      </c>
      <c r="E11" s="64" t="n">
        <f aca="false">(C11/9)*12</f>
        <v>540013.866666667</v>
      </c>
      <c r="F11" s="64" t="n">
        <f aca="false">(+F8*0.2-100)*1.2</f>
        <v>575880</v>
      </c>
      <c r="J11" s="88" t="s">
        <v>78</v>
      </c>
      <c r="K11" s="80" t="n">
        <f aca="false">(E12+E13+E14+E15+E16+E17+E18+E19+E20+E21+E22)/E29</f>
        <v>28886.1517241379</v>
      </c>
      <c r="L11" s="26" t="n">
        <f aca="false">+L22+L28+L37+L43+L47+L51</f>
        <v>32</v>
      </c>
      <c r="M11" s="92" t="n">
        <f aca="false">K11*L11</f>
        <v>924356.855172413</v>
      </c>
      <c r="O11" s="64" t="n">
        <f aca="false">+F11/$F$29*$O$29</f>
        <v>17450.9090909091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'[18]Team Report'!BA27</f>
        <v>309437.02</v>
      </c>
      <c r="E12" s="68" t="n">
        <f aca="false">(C12/9)*12*1.2</f>
        <v>495099.232</v>
      </c>
      <c r="F12" s="64" t="n">
        <f aca="false">(+E12/$E$29*$L$11)*1.2</f>
        <v>218526.557572414</v>
      </c>
      <c r="J12" s="88"/>
      <c r="K12" s="26"/>
      <c r="L12" s="26"/>
      <c r="M12" s="89"/>
      <c r="O12" s="64" t="n">
        <f aca="false">+F12/$F$29*$O$29</f>
        <v>6622.01689613375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'[18]Team Report'!BA28</f>
        <v>270791.23</v>
      </c>
      <c r="E13" s="68" t="n">
        <f aca="false">(C13/9)*12*1.2</f>
        <v>433265.968</v>
      </c>
      <c r="F13" s="64" t="n">
        <f aca="false">(+E13/$E$29*$L$11)*1.2</f>
        <v>191234.634151724</v>
      </c>
      <c r="J13" s="93" t="s">
        <v>125</v>
      </c>
      <c r="K13" s="94"/>
      <c r="L13" s="94"/>
      <c r="M13" s="95" t="n">
        <f aca="false">M8+M11</f>
        <v>4770596.85517241</v>
      </c>
      <c r="O13" s="64" t="n">
        <f aca="false">+F13/$F$29*$O$29</f>
        <v>5794.98891368861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'[18]Team Report'!BA32-C39</f>
        <v>-0.420000000856817</v>
      </c>
      <c r="E14" s="68" t="n">
        <f aca="false">(C14/9)*12*1.2</f>
        <v>-0.672000001370907</v>
      </c>
      <c r="F14" s="64" t="n">
        <v>0</v>
      </c>
      <c r="N14" s="66"/>
      <c r="O14" s="64" t="n">
        <f aca="false">+F14/$F$29*$O$29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'[18]Team Report'!BA33</f>
        <v>132382.8</v>
      </c>
      <c r="E15" s="68" t="n">
        <f aca="false">(C15/9)*12*1.2</f>
        <v>211812.48</v>
      </c>
      <c r="F15" s="64" t="n">
        <f aca="false">(+E15/$E$29*$L$11)*1.2</f>
        <v>93489.6463448276</v>
      </c>
      <c r="J15" s="16" t="s">
        <v>278</v>
      </c>
      <c r="N15" s="49"/>
      <c r="O15" s="64" t="n">
        <f aca="false">+F15/$F$29*$O$29</f>
        <v>2833.0195862069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'[18]Team Report'!BA34</f>
        <v>0</v>
      </c>
      <c r="E16" s="68" t="n">
        <f aca="false">(C16/9)*12*1.2</f>
        <v>0</v>
      </c>
      <c r="F16" s="64" t="n">
        <f aca="false">(+E16/$E$29*$L$11)*1.2</f>
        <v>0</v>
      </c>
      <c r="J16" s="0" t="s">
        <v>197</v>
      </c>
      <c r="K16" s="49" t="n">
        <v>36000</v>
      </c>
      <c r="L16" s="0" t="n">
        <v>1</v>
      </c>
      <c r="M16" s="49" t="n">
        <f aca="false">K16*L16</f>
        <v>36000</v>
      </c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'[18]Team Report'!BA35</f>
        <v>36209.44</v>
      </c>
      <c r="E17" s="68" t="n">
        <f aca="false">(C17/9)*12*1.2</f>
        <v>57935.104</v>
      </c>
      <c r="F17" s="64" t="n">
        <f aca="false">(+E17/$E$29*$L$11)*1.2</f>
        <v>25571.3562482759</v>
      </c>
      <c r="J17" s="0" t="s">
        <v>138</v>
      </c>
      <c r="K17" s="49" t="n">
        <v>54000</v>
      </c>
      <c r="L17" s="0" t="n">
        <v>2</v>
      </c>
      <c r="M17" s="49" t="n">
        <f aca="false">K17*L17</f>
        <v>108000</v>
      </c>
      <c r="O17" s="64" t="n">
        <f aca="false">+F17/$F$29*$O$29</f>
        <v>774.889583281087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'[18]Team Report'!BA36</f>
        <v>489327.92</v>
      </c>
      <c r="E18" s="68" t="n">
        <f aca="false">(C18/9)*12*1.2</f>
        <v>782924.672</v>
      </c>
      <c r="F18" s="64" t="n">
        <f aca="false">(+E18/$E$29*$L$11)*1.2</f>
        <v>345566.75177931</v>
      </c>
      <c r="J18" s="0" t="s">
        <v>141</v>
      </c>
      <c r="K18" s="49" t="n">
        <v>62400</v>
      </c>
      <c r="L18" s="0" t="n">
        <f aca="false">3+1</f>
        <v>4</v>
      </c>
      <c r="M18" s="49" t="n">
        <f aca="false">K18*L18</f>
        <v>249600</v>
      </c>
      <c r="N18" s="0" t="s">
        <v>279</v>
      </c>
      <c r="O18" s="64" t="n">
        <f aca="false">+F18/$F$29*$O$29</f>
        <v>10471.7197508882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'[18]Team Report'!BA37</f>
        <v>23628.12</v>
      </c>
      <c r="E19" s="68" t="n">
        <f aca="false">(C19/9)*12*1.2</f>
        <v>37804.992</v>
      </c>
      <c r="F19" s="64" t="n">
        <f aca="false">(+E19/$E$29*$L$11)*1.2</f>
        <v>16686.3412965517</v>
      </c>
      <c r="J19" s="0" t="s">
        <v>144</v>
      </c>
      <c r="K19" s="49" t="n">
        <v>79200</v>
      </c>
      <c r="L19" s="0" t="n">
        <v>2</v>
      </c>
      <c r="M19" s="49" t="n">
        <f aca="false">K19*L19</f>
        <v>158400</v>
      </c>
      <c r="O19" s="64" t="n">
        <f aca="false">+F19/$F$29*$O$29</f>
        <v>505.646705956113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'[18]Team Report'!BA38</f>
        <v>0</v>
      </c>
      <c r="E20" s="68" t="n">
        <f aca="false">(C20/9)*12*1.2</f>
        <v>0</v>
      </c>
      <c r="F20" s="64" t="n">
        <f aca="false">(+E20/$E$29*$L$11)*1.2</f>
        <v>0</v>
      </c>
      <c r="J20" s="0" t="s">
        <v>153</v>
      </c>
      <c r="K20" s="49" t="n">
        <v>96000</v>
      </c>
      <c r="L20" s="0" t="n">
        <v>2</v>
      </c>
      <c r="M20" s="49" t="n">
        <f aca="false">K20*L20</f>
        <v>192000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'[18]Team Report'!BA42</f>
        <v>308878.27</v>
      </c>
      <c r="E21" s="68" t="n">
        <f aca="false">(C21/9)*12*1.2</f>
        <v>494205.232</v>
      </c>
      <c r="F21" s="64" t="n">
        <f aca="false">(+E21/$E$29*$L$11)*1.2</f>
        <v>218131.964468966</v>
      </c>
      <c r="J21" s="0" t="s">
        <v>156</v>
      </c>
      <c r="K21" s="49" t="n">
        <v>216000</v>
      </c>
      <c r="L21" s="0" t="n">
        <v>1</v>
      </c>
      <c r="M21" s="49" t="n">
        <f aca="false">K21*L21</f>
        <v>216000</v>
      </c>
      <c r="O21" s="64" t="n">
        <f aca="false">+F21/$F$29*$O$29</f>
        <v>6610.05952936259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'[18]Team Report'!BA44</f>
        <v>30.12</v>
      </c>
      <c r="E22" s="68" t="n">
        <f aca="false">(C22/9)*12*1.2</f>
        <v>48.192</v>
      </c>
      <c r="F22" s="64" t="n">
        <f aca="false">(+E22/$E$29*$L$11)*1.2</f>
        <v>21.2709517241379</v>
      </c>
      <c r="L22" s="0" t="n">
        <f aca="false">SUM(L16:L21)</f>
        <v>12</v>
      </c>
      <c r="M22" s="49" t="n">
        <f aca="false">SUM(M16:M21)*1.2</f>
        <v>1152000</v>
      </c>
      <c r="O22" s="64" t="n">
        <f aca="false">+F22/$F$29*$O$29</f>
        <v>0.644574294670846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5072700.08</v>
      </c>
      <c r="E23" s="74" t="n">
        <f aca="false">SUM(E8:E22)</f>
        <v>7182449.30666667</v>
      </c>
      <c r="F23" s="74" t="n">
        <f aca="false">SUM(F8:F22)</f>
        <v>4085108.52281379</v>
      </c>
      <c r="O23" s="96" t="n">
        <f aca="false">SUM(O8:O22)</f>
        <v>123791.167357994</v>
      </c>
    </row>
    <row r="24" customFormat="false" ht="12.75" hidden="false" customHeight="false" outlineLevel="0" collapsed="false">
      <c r="J24" s="16" t="s">
        <v>280</v>
      </c>
    </row>
    <row r="25" customFormat="false" ht="12.75" hidden="false" customHeight="false" outlineLevel="0" collapsed="false">
      <c r="B25" s="73" t="s">
        <v>7</v>
      </c>
      <c r="C25" s="64"/>
      <c r="E25" s="77" t="n">
        <v>82</v>
      </c>
      <c r="F25" s="77" t="n">
        <v>32</v>
      </c>
      <c r="J25" s="0" t="s">
        <v>138</v>
      </c>
      <c r="K25" s="49" t="n">
        <v>60000</v>
      </c>
      <c r="L25" s="0" t="n">
        <v>2</v>
      </c>
      <c r="M25" s="49" t="n">
        <f aca="false">K25*L25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J26" s="0" t="s">
        <v>141</v>
      </c>
      <c r="K26" s="49" t="n">
        <v>78000</v>
      </c>
      <c r="L26" s="0" t="n">
        <v>1</v>
      </c>
      <c r="M26" s="49" t="n">
        <f aca="false">K26*L26</f>
        <v>78000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5</v>
      </c>
      <c r="F27" s="77" t="n">
        <v>1</v>
      </c>
      <c r="J27" s="0" t="s">
        <v>144</v>
      </c>
      <c r="K27" s="49" t="n">
        <v>102000</v>
      </c>
      <c r="L27" s="0" t="n">
        <v>0</v>
      </c>
      <c r="M27" s="49" t="n">
        <f aca="false">K27*L27</f>
        <v>0</v>
      </c>
      <c r="O27" s="77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49" t="n">
        <f aca="false">SUM(M25:M27)*1.2</f>
        <v>237600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87</v>
      </c>
      <c r="F29" s="77" t="n">
        <f aca="false">+F27+F25</f>
        <v>33</v>
      </c>
      <c r="G29" s="64"/>
      <c r="H29" s="49"/>
      <c r="O29" s="77" t="n">
        <v>1</v>
      </c>
    </row>
    <row r="30" customFormat="false" ht="11.25" hidden="false" customHeight="true" outlineLevel="0" collapsed="false">
      <c r="J30" s="16" t="s">
        <v>281</v>
      </c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'[18]Team Report'!BA29</f>
        <v>0</v>
      </c>
      <c r="E31" s="64" t="n">
        <f aca="false">(C31/9)*12</f>
        <v>0</v>
      </c>
      <c r="F31" s="64"/>
      <c r="J31" s="0" t="s">
        <v>138</v>
      </c>
      <c r="K31" s="49" t="n">
        <v>49200</v>
      </c>
      <c r="L31" s="0" t="n">
        <v>0</v>
      </c>
      <c r="M31" s="49" t="n">
        <f aca="false">K31*L31</f>
        <v>0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'[18]Team Report'!BA30</f>
        <v>0</v>
      </c>
      <c r="E32" s="64" t="n">
        <f aca="false">(C32/9)*12</f>
        <v>0</v>
      </c>
      <c r="F32" s="64"/>
      <c r="J32" s="0" t="s">
        <v>141</v>
      </c>
      <c r="K32" s="49" t="n">
        <v>62400</v>
      </c>
      <c r="L32" s="0" t="n">
        <v>2</v>
      </c>
      <c r="M32" s="49" t="n">
        <f aca="false">K32*L32</f>
        <v>124800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'[18]Team Report'!BA31</f>
        <v>0</v>
      </c>
      <c r="E33" s="64" t="n">
        <f aca="false">(C33/9)*12</f>
        <v>0</v>
      </c>
      <c r="F33" s="64"/>
      <c r="J33" s="0" t="s">
        <v>144</v>
      </c>
      <c r="K33" s="49" t="n">
        <v>74400</v>
      </c>
      <c r="L33" s="0" t="n">
        <f aca="false">2+1</f>
        <v>3</v>
      </c>
      <c r="M33" s="49" t="n">
        <f aca="false">K33*L33</f>
        <v>223200</v>
      </c>
      <c r="N33" s="0" t="s">
        <v>282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'[18]Team Report'!BA39</f>
        <v>0</v>
      </c>
      <c r="E34" s="64" t="n">
        <f aca="false">(C34/9)*12</f>
        <v>0</v>
      </c>
      <c r="F34" s="64"/>
      <c r="J34" s="0" t="s">
        <v>153</v>
      </c>
      <c r="K34" s="49" t="n">
        <v>90000</v>
      </c>
      <c r="L34" s="0" t="n">
        <v>1</v>
      </c>
      <c r="M34" s="49" t="n">
        <f aca="false">K34*L34</f>
        <v>90000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'[18]Team Report'!BA40</f>
        <v>25924.2</v>
      </c>
      <c r="E35" s="64" t="n">
        <f aca="false">(C35/9)*12</f>
        <v>34565.6</v>
      </c>
      <c r="F35" s="64"/>
      <c r="J35" s="0" t="s">
        <v>154</v>
      </c>
      <c r="K35" s="49" t="n">
        <v>120000</v>
      </c>
      <c r="L35" s="0" t="n">
        <v>1</v>
      </c>
      <c r="M35" s="49" t="n">
        <f aca="false">K35*L35</f>
        <v>120000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'[18]Team Report'!BA41</f>
        <v>1904.73</v>
      </c>
      <c r="E36" s="64" t="n">
        <f aca="false">(C36/9)*12</f>
        <v>2539.64</v>
      </c>
      <c r="F36" s="64"/>
      <c r="J36" s="0" t="s">
        <v>156</v>
      </c>
      <c r="K36" s="49" t="n">
        <v>216000</v>
      </c>
      <c r="L36" s="0" t="n">
        <v>1</v>
      </c>
      <c r="M36" s="49" t="n">
        <f aca="false">K36*L36</f>
        <v>216000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'[18]Team Report'!BA43</f>
        <v>-612901.88</v>
      </c>
      <c r="E37" s="64" t="n">
        <f aca="false">(C37/9)*12</f>
        <v>-817202.506666667</v>
      </c>
      <c r="F37" s="64"/>
      <c r="L37" s="0" t="n">
        <f aca="false">SUM(L31:L36)</f>
        <v>8</v>
      </c>
      <c r="M37" s="49" t="n">
        <f aca="false">SUM(M31:M36)*1.2</f>
        <v>928800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'[18]Team Report'!BA45</f>
        <v>0</v>
      </c>
      <c r="E38" s="64" t="n">
        <f aca="false">(C38/9)*12</f>
        <v>0</v>
      </c>
      <c r="F38" s="64"/>
    </row>
    <row r="39" customFormat="false" ht="12.75" hidden="true" customHeight="false" outlineLevel="0" collapsed="false">
      <c r="A39" s="62"/>
      <c r="B39" s="63" t="s">
        <v>127</v>
      </c>
      <c r="C39" s="64" t="n">
        <v>5703580</v>
      </c>
      <c r="E39" s="64"/>
      <c r="F39" s="64"/>
      <c r="J39" s="16" t="s">
        <v>73</v>
      </c>
    </row>
    <row r="40" customFormat="false" ht="12.75" hidden="true" customHeight="false" outlineLevel="0" collapsed="false">
      <c r="J40" s="0" t="s">
        <v>135</v>
      </c>
      <c r="K40" s="49" t="n">
        <v>52800</v>
      </c>
      <c r="L40" s="0" t="n">
        <v>1</v>
      </c>
      <c r="M40" s="49" t="n">
        <f aca="false">K40*L40</f>
        <v>52800</v>
      </c>
    </row>
    <row r="41" customFormat="false" ht="12.75" hidden="true" customHeight="false" outlineLevel="0" collapsed="false">
      <c r="C41" s="102" t="n">
        <f aca="false">C23+C31+C32+C33+C34+C35+C36+C37+C38</f>
        <v>4487627.13</v>
      </c>
      <c r="J41" s="0" t="s">
        <v>283</v>
      </c>
      <c r="K41" s="49" t="n">
        <v>195600</v>
      </c>
      <c r="L41" s="0" t="n">
        <f aca="false">2+1</f>
        <v>3</v>
      </c>
      <c r="M41" s="49" t="n">
        <f aca="false">K41*L41</f>
        <v>586800</v>
      </c>
      <c r="N41" s="0" t="s">
        <v>284</v>
      </c>
    </row>
    <row r="42" customFormat="false" ht="12.75" hidden="true" customHeight="false" outlineLevel="0" collapsed="false">
      <c r="J42" s="0" t="s">
        <v>156</v>
      </c>
      <c r="K42" s="49" t="n">
        <v>217200</v>
      </c>
      <c r="L42" s="0" t="n">
        <v>1</v>
      </c>
      <c r="M42" s="4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49" t="n">
        <f aca="false">SUM(M40:M42)*1.2</f>
        <v>1028160</v>
      </c>
    </row>
    <row r="44" customFormat="false" ht="12.75" hidden="true" customHeight="false" outlineLevel="0" collapsed="false">
      <c r="A44" s="16" t="s">
        <v>160</v>
      </c>
      <c r="B44" s="49"/>
      <c r="C44" s="49"/>
      <c r="D44" s="49"/>
    </row>
    <row r="45" customFormat="false" ht="12.75" hidden="true" customHeight="false" outlineLevel="0" collapsed="false">
      <c r="B45" s="49"/>
      <c r="C45" s="49"/>
      <c r="D45" s="49"/>
      <c r="J45" s="16" t="s">
        <v>135</v>
      </c>
    </row>
    <row r="46" customFormat="false" ht="12.75" hidden="true" customHeight="false" outlineLevel="0" collapsed="false">
      <c r="A46" s="79" t="s">
        <v>208</v>
      </c>
      <c r="B46" s="80" t="s">
        <v>162</v>
      </c>
      <c r="C46" s="80" t="s">
        <v>163</v>
      </c>
      <c r="E46" s="80" t="s">
        <v>106</v>
      </c>
      <c r="F46" s="80"/>
      <c r="G46" s="80" t="s">
        <v>164</v>
      </c>
      <c r="J46" s="0" t="s">
        <v>135</v>
      </c>
      <c r="K46" s="49" t="n">
        <v>52800</v>
      </c>
      <c r="L46" s="0" t="n">
        <v>3</v>
      </c>
      <c r="M46" s="49" t="n">
        <f aca="false">K46*L46</f>
        <v>158400</v>
      </c>
    </row>
    <row r="47" customFormat="false" ht="12.75" hidden="true" customHeight="false" outlineLevel="0" collapsed="false">
      <c r="A47" s="81" t="n">
        <f aca="false">SUM(E12:E22)</f>
        <v>2513095.2</v>
      </c>
      <c r="B47" s="109" t="n">
        <f aca="false">+E29</f>
        <v>87</v>
      </c>
      <c r="C47" s="80" t="n">
        <f aca="false">+A47/B47</f>
        <v>28886.1517241379</v>
      </c>
      <c r="D47" s="80"/>
      <c r="E47" s="109" t="n">
        <f aca="false">+L11</f>
        <v>32</v>
      </c>
      <c r="F47" s="109"/>
      <c r="G47" s="49" t="n">
        <f aca="false">+E47*C47</f>
        <v>924356.855172413</v>
      </c>
      <c r="L47" s="0" t="n">
        <f aca="false">SUM(L46)</f>
        <v>3</v>
      </c>
      <c r="M47" s="49" t="n">
        <f aca="false">SUM(M46)*1.2</f>
        <v>190080</v>
      </c>
    </row>
    <row r="48" customFormat="false" ht="12.75" hidden="true" customHeight="false" outlineLevel="0" collapsed="false">
      <c r="J48" s="16" t="s">
        <v>285</v>
      </c>
    </row>
    <row r="49" customFormat="false" ht="12.75" hidden="true" customHeight="false" outlineLevel="0" collapsed="false">
      <c r="J49" s="0" t="s">
        <v>153</v>
      </c>
      <c r="K49" s="49" t="n">
        <v>90000</v>
      </c>
      <c r="L49" s="0" t="n">
        <v>1</v>
      </c>
      <c r="M49" s="49" t="n">
        <f aca="false">K49*L49</f>
        <v>90000</v>
      </c>
    </row>
    <row r="50" customFormat="false" ht="12.75" hidden="true" customHeight="false" outlineLevel="0" collapsed="false">
      <c r="J50" s="0" t="s">
        <v>154</v>
      </c>
      <c r="K50" s="49" t="n">
        <v>168000</v>
      </c>
      <c r="L50" s="0" t="n">
        <v>1</v>
      </c>
      <c r="M50" s="4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4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customFormat="false" ht="18" hidden="false" customHeight="false" outlineLevel="0" collapsed="false">
      <c r="B2" s="50" t="s">
        <v>286</v>
      </c>
      <c r="C2" s="50"/>
      <c r="D2" s="50"/>
      <c r="E2" s="50"/>
      <c r="F2" s="50"/>
      <c r="G2" s="50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</row>
    <row r="4" customFormat="false" ht="13.5" hidden="false" customHeight="false" outlineLevel="0" collapsed="false">
      <c r="I4" s="103" t="s">
        <v>65</v>
      </c>
      <c r="J4" s="103"/>
      <c r="K4" s="103"/>
      <c r="L4" s="103"/>
    </row>
    <row r="5" customFormat="false" ht="12.75" hidden="false" customHeight="false" outlineLevel="0" collapsed="false">
      <c r="I5" s="85"/>
      <c r="J5" s="56"/>
      <c r="K5" s="56"/>
      <c r="L5" s="57"/>
      <c r="M5" s="26"/>
    </row>
    <row r="6" customFormat="false" ht="12.75" hidden="false" customHeight="false" outlineLevel="0" collapsed="false">
      <c r="C6" s="60" t="n">
        <v>37135</v>
      </c>
      <c r="E6" s="100" t="n">
        <v>2001</v>
      </c>
      <c r="G6" s="100" t="n">
        <v>2002</v>
      </c>
      <c r="I6" s="88"/>
      <c r="J6" s="80" t="s">
        <v>105</v>
      </c>
      <c r="K6" s="80" t="s">
        <v>106</v>
      </c>
      <c r="L6" s="104" t="s">
        <v>223</v>
      </c>
      <c r="M6" s="26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I7" s="88"/>
      <c r="L7" s="59"/>
      <c r="M7" s="26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v>0</v>
      </c>
      <c r="E8" s="64" t="n">
        <v>2625993</v>
      </c>
      <c r="G8" s="64" t="n">
        <f aca="false">(L29-G10)*1.2</f>
        <v>2029536</v>
      </c>
      <c r="I8" s="88"/>
      <c r="L8" s="59"/>
      <c r="M8" s="26"/>
      <c r="O8" s="64" t="n">
        <f aca="false">+G8/$G$30*$O$30</f>
        <v>270604.8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G9" s="64" t="n">
        <v>0</v>
      </c>
      <c r="I9" s="88" t="s">
        <v>116</v>
      </c>
      <c r="J9" s="49" t="n">
        <v>0</v>
      </c>
      <c r="K9" s="49" t="n">
        <f aca="false">K29</f>
        <v>15</v>
      </c>
      <c r="L9" s="59" t="n">
        <f aca="false">+L33</f>
        <v>2112480</v>
      </c>
      <c r="M9" s="26"/>
      <c r="O9" s="64" t="n">
        <f aca="false">+G9/$G$30*$O$30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G10" s="64" t="n">
        <f aca="false">(L21)*1.2</f>
        <v>69120</v>
      </c>
      <c r="I10" s="88"/>
      <c r="L10" s="59"/>
      <c r="M10" s="26"/>
      <c r="O10" s="64" t="n">
        <f aca="false">+G10/$G$30*$O$30</f>
        <v>9216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v>0</v>
      </c>
      <c r="E11" s="64" t="n">
        <f aca="false">247074+290236+2376</f>
        <v>539686</v>
      </c>
      <c r="G11" s="64" t="n">
        <f aca="false">(L33-L29)*1.2</f>
        <v>422496</v>
      </c>
      <c r="I11" s="88"/>
      <c r="L11" s="59"/>
      <c r="M11" s="26"/>
      <c r="O11" s="64" t="n">
        <f aca="false">+G11/$G$30*$O$30</f>
        <v>56332.8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v>115211.17</v>
      </c>
      <c r="E12" s="68" t="n">
        <f aca="false">(C12/9)*12*1.2</f>
        <v>184337.872</v>
      </c>
      <c r="G12" s="64" t="n">
        <f aca="false">((E12/$E$30)*$G$30)*1.2</f>
        <v>57208.3051034483</v>
      </c>
      <c r="I12" s="88" t="s">
        <v>78</v>
      </c>
      <c r="J12" s="49" t="n">
        <f aca="false">(E12+E13+E14+E15+E16+E17+E18+E20+E21+E22+E23)/E30</f>
        <v>9254.69820689655</v>
      </c>
      <c r="K12" s="49" t="n">
        <f aca="false">K29</f>
        <v>15</v>
      </c>
      <c r="L12" s="59" t="n">
        <f aca="false">J12*K12</f>
        <v>138820.473103448</v>
      </c>
      <c r="M12" s="26"/>
      <c r="O12" s="64" t="n">
        <f aca="false">+G12/$G$30*$O$30</f>
        <v>7627.7740137931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v>158715.86</v>
      </c>
      <c r="E13" s="68" t="n">
        <f aca="false">(C13/9)*12*1.2</f>
        <v>253945.376</v>
      </c>
      <c r="G13" s="64" t="n">
        <f aca="false">((E13/$E$30)*$G$30+9324)*1.2</f>
        <v>89999.4339310345</v>
      </c>
      <c r="I13" s="88"/>
      <c r="L13" s="59"/>
      <c r="M13" s="26"/>
      <c r="O13" s="64" t="n">
        <f aca="false">+G13/$G$30*$O$30</f>
        <v>11999.9245241379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8" t="n">
        <f aca="false">(C14/9)*12*1.2</f>
        <v>0</v>
      </c>
      <c r="G14" s="64" t="n">
        <f aca="false">((E14/$E$30)*$G$30+25000)*1.2</f>
        <v>30000</v>
      </c>
      <c r="I14" s="93" t="s">
        <v>125</v>
      </c>
      <c r="J14" s="70"/>
      <c r="K14" s="70"/>
      <c r="L14" s="71" t="n">
        <f aca="false">SUM(L9:L12)</f>
        <v>2251300.47310345</v>
      </c>
      <c r="M14" s="26"/>
      <c r="O14" s="64" t="n">
        <f aca="false">+G14/$G$30*$O$30</f>
        <v>4000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v>28163.05</v>
      </c>
      <c r="E15" s="68" t="n">
        <f aca="false">(C15/9)*12*1.2</f>
        <v>45060.88</v>
      </c>
      <c r="G15" s="64" t="n">
        <f aca="false">((E15/$E$30)*$G$30)*1.2</f>
        <v>13984.4110344828</v>
      </c>
      <c r="I15" s="26"/>
      <c r="M15" s="111"/>
      <c r="O15" s="64" t="n">
        <f aca="false">+G15/$G$30*$O$30</f>
        <v>1864.58813793103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8" t="n">
        <f aca="false">(C16/9)*12*1.2</f>
        <v>0</v>
      </c>
      <c r="G16" s="64" t="n">
        <f aca="false">((E16/$E$30)*$G$30)*1.2</f>
        <v>0</v>
      </c>
      <c r="I16" s="26"/>
      <c r="M16" s="26"/>
      <c r="O16" s="64" t="n">
        <f aca="false">+G16/$G$30*$O$30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8" t="n">
        <f aca="false">(C17/9)*12*1.2</f>
        <v>0</v>
      </c>
      <c r="G17" s="64" t="n">
        <f aca="false">((E17/$E$30)*$G$30)*1.2</f>
        <v>0</v>
      </c>
      <c r="I17" s="26" t="s">
        <v>197</v>
      </c>
      <c r="J17" s="49" t="n">
        <v>36000</v>
      </c>
      <c r="K17" s="0" t="n">
        <v>0</v>
      </c>
      <c r="L17" s="49" t="n">
        <f aca="false">J17*K17</f>
        <v>0</v>
      </c>
      <c r="O17" s="64" t="n">
        <f aca="false">+G17/$G$30*$O$30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v>1844.33</v>
      </c>
      <c r="E18" s="68" t="n">
        <f aca="false">(C18/9)*12*1.2</f>
        <v>2950.928</v>
      </c>
      <c r="G18" s="64" t="n">
        <f aca="false">((E18/$E$30)*$G$30+237)*1.2</f>
        <v>1200.20524137931</v>
      </c>
      <c r="I18" s="0" t="s">
        <v>256</v>
      </c>
      <c r="J18" s="49" t="n">
        <v>49200</v>
      </c>
      <c r="K18" s="0" t="n">
        <v>1</v>
      </c>
      <c r="L18" s="49" t="n">
        <f aca="false">J18*K18</f>
        <v>49200</v>
      </c>
      <c r="O18" s="64" t="n">
        <f aca="false">+G18/$G$30*$O$30</f>
        <v>160.027365517241</v>
      </c>
    </row>
    <row r="19" customFormat="false" ht="12.75" hidden="true" customHeight="false" outlineLevel="0" collapsed="false">
      <c r="A19" s="62"/>
      <c r="B19" s="63"/>
      <c r="C19" s="64"/>
      <c r="E19" s="68" t="n">
        <f aca="false">(C19/9)*12*1.2</f>
        <v>0</v>
      </c>
      <c r="G19" s="64" t="n">
        <f aca="false">((E19/$E$30)*$G$30)*1.2</f>
        <v>0</v>
      </c>
      <c r="I19" s="0" t="s">
        <v>287</v>
      </c>
      <c r="J19" s="49" t="n">
        <v>63600</v>
      </c>
      <c r="K19" s="0" t="n">
        <v>0</v>
      </c>
      <c r="L19" s="49" t="n">
        <f aca="false">J19*K19</f>
        <v>0</v>
      </c>
      <c r="O19" s="64" t="n">
        <f aca="false">+G19/$G$30*$O$30</f>
        <v>0</v>
      </c>
    </row>
    <row r="20" customFormat="false" ht="12.75" hidden="false" customHeight="false" outlineLevel="0" collapsed="false">
      <c r="A20" s="62" t="s">
        <v>139</v>
      </c>
      <c r="B20" s="63" t="s">
        <v>140</v>
      </c>
      <c r="C20" s="64" t="n">
        <v>29491.73</v>
      </c>
      <c r="E20" s="68" t="n">
        <f aca="false">(C20/9)*12*1.2</f>
        <v>47186.768</v>
      </c>
      <c r="G20" s="64" t="n">
        <f aca="false">((E20/$E$30)*$G$30+37797)*1.2</f>
        <v>60000.5693793104</v>
      </c>
      <c r="I20" s="0" t="s">
        <v>138</v>
      </c>
      <c r="J20" s="49" t="n">
        <v>49200</v>
      </c>
      <c r="K20" s="0" t="n">
        <v>0</v>
      </c>
      <c r="L20" s="49" t="n">
        <f aca="false">J20*K20</f>
        <v>0</v>
      </c>
      <c r="O20" s="64" t="n">
        <f aca="false">+G20/$G$30*$O$30</f>
        <v>8000.07591724138</v>
      </c>
    </row>
    <row r="21" customFormat="false" ht="12.75" hidden="false" customHeight="false" outlineLevel="0" collapsed="false">
      <c r="A21" s="62" t="s">
        <v>142</v>
      </c>
      <c r="B21" s="63" t="s">
        <v>143</v>
      </c>
      <c r="C21" s="64" t="n">
        <f aca="false">'[14]Team Report'!BA38</f>
        <v>0</v>
      </c>
      <c r="E21" s="68" t="n">
        <f aca="false">(C21/9)*12*1.2</f>
        <v>0</v>
      </c>
      <c r="G21" s="64" t="n">
        <f aca="false">((E21/$E$30)*$G$30)*1.2</f>
        <v>0</v>
      </c>
      <c r="I21" s="0" t="s">
        <v>257</v>
      </c>
      <c r="J21" s="49" t="n">
        <v>57600</v>
      </c>
      <c r="K21" s="0" t="n">
        <v>1</v>
      </c>
      <c r="L21" s="49" t="n">
        <f aca="false">J21*K21</f>
        <v>57600</v>
      </c>
      <c r="O21" s="64" t="n">
        <f aca="false">+G21/$G$30*$O$30</f>
        <v>0</v>
      </c>
    </row>
    <row r="22" customFormat="false" ht="12.75" hidden="false" customHeight="false" outlineLevel="0" collapsed="false">
      <c r="A22" s="62" t="s">
        <v>145</v>
      </c>
      <c r="B22" s="63" t="s">
        <v>146</v>
      </c>
      <c r="C22" s="64" t="n">
        <v>2056.67</v>
      </c>
      <c r="E22" s="68" t="n">
        <f aca="false">(C22/9)*12*1.2</f>
        <v>3290.672</v>
      </c>
      <c r="G22" s="64" t="n">
        <f aca="false">((E22/$E$30)*$G$30+299149)*1.2</f>
        <v>360000.043034483</v>
      </c>
      <c r="I22" s="0" t="s">
        <v>141</v>
      </c>
      <c r="J22" s="49" t="n">
        <v>66000</v>
      </c>
      <c r="K22" s="0" t="n">
        <v>1</v>
      </c>
      <c r="L22" s="49" t="n">
        <f aca="false">J22*K22</f>
        <v>66000</v>
      </c>
      <c r="O22" s="64" t="n">
        <f aca="false">+G22/$G$30*$O$30</f>
        <v>48000.005737931</v>
      </c>
    </row>
    <row r="23" customFormat="false" ht="12.75" hidden="false" customHeight="false" outlineLevel="0" collapsed="false">
      <c r="A23" s="62" t="s">
        <v>148</v>
      </c>
      <c r="B23" s="63" t="s">
        <v>149</v>
      </c>
      <c r="C23" s="64" t="n">
        <v>0</v>
      </c>
      <c r="E23" s="64" t="n">
        <f aca="false">(C23/9)*12*1.2</f>
        <v>0</v>
      </c>
      <c r="G23" s="64" t="n">
        <f aca="false">((E23/$E$30)*$G$30)*1.2</f>
        <v>0</v>
      </c>
      <c r="I23" s="0" t="s">
        <v>258</v>
      </c>
      <c r="J23" s="49" t="n">
        <v>84000</v>
      </c>
      <c r="K23" s="0" t="n">
        <v>2</v>
      </c>
      <c r="L23" s="49" t="n">
        <f aca="false">J23*K23</f>
        <v>168000</v>
      </c>
      <c r="O23" s="64" t="n">
        <f aca="false">+G23/$G$30*$O$30</f>
        <v>0</v>
      </c>
    </row>
    <row r="24" customFormat="false" ht="12.75" hidden="false" customHeight="false" outlineLevel="0" collapsed="false">
      <c r="A24" s="72" t="s">
        <v>151</v>
      </c>
      <c r="B24" s="73" t="s">
        <v>152</v>
      </c>
      <c r="C24" s="74" t="n">
        <f aca="false">SUM(C8:C23)</f>
        <v>335482.81</v>
      </c>
      <c r="E24" s="74" t="n">
        <f aca="false">SUM(E8:E23)</f>
        <v>3702451.496</v>
      </c>
      <c r="G24" s="74" t="n">
        <f aca="false">SUM(G8:G23)</f>
        <v>3133544.96772414</v>
      </c>
      <c r="I24" s="0" t="s">
        <v>259</v>
      </c>
      <c r="J24" s="49" t="n">
        <v>105600</v>
      </c>
      <c r="K24" s="0" t="n">
        <v>5</v>
      </c>
      <c r="L24" s="49" t="n">
        <f aca="false">J24*K24</f>
        <v>528000</v>
      </c>
      <c r="O24" s="74" t="n">
        <f aca="false">SUM(O8:O23)</f>
        <v>417805.995696552</v>
      </c>
    </row>
    <row r="25" customFormat="false" ht="12.75" hidden="false" customHeight="false" outlineLevel="0" collapsed="false">
      <c r="I25" s="0" t="s">
        <v>260</v>
      </c>
      <c r="J25" s="49" t="n">
        <v>156000</v>
      </c>
      <c r="K25" s="0" t="n">
        <v>2</v>
      </c>
      <c r="L25" s="49" t="n">
        <f aca="false">J25*K25</f>
        <v>312000</v>
      </c>
    </row>
    <row r="26" customFormat="false" ht="12.75" hidden="false" customHeight="false" outlineLevel="0" collapsed="false">
      <c r="B26" s="73" t="s">
        <v>7</v>
      </c>
      <c r="C26" s="107"/>
      <c r="E26" s="107" t="n">
        <v>58</v>
      </c>
      <c r="G26" s="107" t="n">
        <f aca="false">SUM(K17:K20,K22:K28)</f>
        <v>14</v>
      </c>
      <c r="I26" s="0" t="s">
        <v>261</v>
      </c>
      <c r="J26" s="49" t="n">
        <v>184800</v>
      </c>
      <c r="K26" s="0" t="n">
        <v>2</v>
      </c>
      <c r="L26" s="49" t="n">
        <f aca="false">J26*K26</f>
        <v>369600</v>
      </c>
      <c r="O26" s="107" t="n">
        <v>1</v>
      </c>
    </row>
    <row r="27" customFormat="false" ht="12.75" hidden="false" customHeight="false" outlineLevel="0" collapsed="false">
      <c r="I27" s="0" t="s">
        <v>262</v>
      </c>
      <c r="J27" s="49" t="n">
        <v>210000</v>
      </c>
      <c r="K27" s="0" t="n">
        <v>1</v>
      </c>
      <c r="L27" s="49" t="n">
        <f aca="false">J27*K27</f>
        <v>210000</v>
      </c>
    </row>
    <row r="28" customFormat="false" ht="12.75" hidden="false" customHeight="false" outlineLevel="0" collapsed="false">
      <c r="B28" s="73" t="s">
        <v>157</v>
      </c>
      <c r="C28" s="107"/>
      <c r="E28" s="107" t="n">
        <v>0</v>
      </c>
      <c r="G28" s="107" t="n">
        <f aca="false">SUM(K21)</f>
        <v>1</v>
      </c>
      <c r="I28" s="0" t="s">
        <v>288</v>
      </c>
      <c r="J28" s="49" t="n">
        <v>476400</v>
      </c>
      <c r="K28" s="0" t="n">
        <v>0</v>
      </c>
      <c r="L28" s="49" t="n">
        <f aca="false">J28*K28</f>
        <v>0</v>
      </c>
      <c r="O28" s="107" t="n">
        <v>1</v>
      </c>
    </row>
    <row r="29" customFormat="false" ht="12.75" hidden="false" customHeight="false" outlineLevel="0" collapsed="false">
      <c r="K29" s="49" t="n">
        <f aca="false">SUM(K17:K28)</f>
        <v>15</v>
      </c>
      <c r="L29" s="49" t="n">
        <f aca="false">SUM(L17:L28)</f>
        <v>1760400</v>
      </c>
    </row>
    <row r="30" customFormat="false" ht="12.75" hidden="false" customHeight="false" outlineLevel="0" collapsed="false">
      <c r="B30" s="73" t="s">
        <v>159</v>
      </c>
      <c r="C30" s="107"/>
      <c r="E30" s="107" t="n">
        <f aca="false">SUM(E26:E29)</f>
        <v>58</v>
      </c>
      <c r="G30" s="107" t="n">
        <f aca="false">SUM(G26:G29)</f>
        <v>15</v>
      </c>
      <c r="O30" s="107" t="n">
        <f aca="false">SUM(O26:O29)</f>
        <v>2</v>
      </c>
    </row>
    <row r="31" customFormat="false" ht="12.75" hidden="false" customHeight="false" outlineLevel="0" collapsed="false">
      <c r="B31" s="73"/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213</v>
      </c>
      <c r="B32" s="63" t="s">
        <v>227</v>
      </c>
      <c r="C32" s="64" t="n">
        <f aca="false">'[14]Team Report'!BA29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215</v>
      </c>
      <c r="B33" s="63" t="s">
        <v>228</v>
      </c>
      <c r="C33" s="64" t="n">
        <f aca="false">'[14]Team Report'!BA30</f>
        <v>0</v>
      </c>
      <c r="E33" s="64" t="n">
        <f aca="false">(C33/9)*12</f>
        <v>0</v>
      </c>
      <c r="L33" s="49" t="n">
        <f aca="false">L29*1.2</f>
        <v>2112480</v>
      </c>
    </row>
    <row r="34" customFormat="false" ht="12.75" hidden="true" customHeight="false" outlineLevel="0" collapsed="false">
      <c r="A34" s="62" t="s">
        <v>216</v>
      </c>
      <c r="B34" s="63" t="s">
        <v>229</v>
      </c>
      <c r="C34" s="64" t="n">
        <f aca="false">'[14]Team Report'!BA31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217</v>
      </c>
      <c r="B35" s="63" t="s">
        <v>230</v>
      </c>
      <c r="C35" s="64" t="n">
        <f aca="false">'[14]Team Report'!BA39</f>
        <v>0</v>
      </c>
      <c r="E35" s="64" t="n">
        <f aca="false">(C35/9)*12</f>
        <v>0</v>
      </c>
    </row>
    <row r="36" customFormat="false" ht="12.75" hidden="true" customHeight="false" outlineLevel="0" collapsed="false">
      <c r="A36" s="62" t="s">
        <v>218</v>
      </c>
      <c r="B36" s="63" t="s">
        <v>231</v>
      </c>
      <c r="C36" s="64" t="n">
        <f aca="false">'[14]Team Report'!BA40</f>
        <v>24670.39</v>
      </c>
      <c r="E36" s="64" t="n">
        <f aca="false">(C36/9)*12</f>
        <v>32893.8533333333</v>
      </c>
    </row>
    <row r="37" customFormat="false" ht="12.75" hidden="true" customHeight="false" outlineLevel="0" collapsed="false">
      <c r="A37" s="62" t="s">
        <v>219</v>
      </c>
      <c r="B37" s="63" t="s">
        <v>232</v>
      </c>
      <c r="C37" s="64" t="n">
        <f aca="false">'[14]Team Report'!BA41</f>
        <v>481045.43</v>
      </c>
      <c r="E37" s="64" t="n">
        <f aca="false">(C37/9)*12</f>
        <v>641393.906666667</v>
      </c>
      <c r="H37" s="16" t="s">
        <v>160</v>
      </c>
      <c r="I37" s="49"/>
      <c r="L37" s="0"/>
    </row>
    <row r="38" customFormat="false" ht="12.75" hidden="true" customHeight="false" outlineLevel="0" collapsed="false">
      <c r="A38" s="62" t="s">
        <v>220</v>
      </c>
      <c r="B38" s="63" t="s">
        <v>233</v>
      </c>
      <c r="C38" s="64" t="n">
        <f aca="false">'[14]Team Report'!BA43</f>
        <v>-771915.88</v>
      </c>
      <c r="E38" s="64" t="n">
        <f aca="false">(C38/9)*12</f>
        <v>-1029221.17333333</v>
      </c>
      <c r="I38" s="49"/>
      <c r="L38" s="0"/>
    </row>
    <row r="39" customFormat="false" ht="12.75" hidden="true" customHeight="false" outlineLevel="0" collapsed="false">
      <c r="A39" s="62" t="s">
        <v>221</v>
      </c>
      <c r="B39" s="63" t="s">
        <v>234</v>
      </c>
      <c r="C39" s="64" t="n">
        <f aca="false">'[14]Team Report'!BA45</f>
        <v>0</v>
      </c>
      <c r="E39" s="64" t="n">
        <f aca="false">(C39/9)*12</f>
        <v>0</v>
      </c>
      <c r="H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A40" s="62"/>
      <c r="B40" s="63"/>
      <c r="C40" s="64"/>
      <c r="E40" s="64"/>
      <c r="H40" s="81" t="n">
        <f aca="false">SUM(E12:E22)</f>
        <v>536772.496</v>
      </c>
      <c r="I40" s="109" t="n">
        <f aca="false">+E30</f>
        <v>58</v>
      </c>
      <c r="J40" s="80" t="n">
        <f aca="false">+H40/I40</f>
        <v>9254.69820689655</v>
      </c>
      <c r="K40" s="80" t="n">
        <f aca="false">+K12</f>
        <v>15</v>
      </c>
      <c r="L40" s="80" t="n">
        <f aca="false">+J40*K40</f>
        <v>138820.473103448</v>
      </c>
      <c r="M40" s="4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102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41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true" outlineLevel="0" max="14" min="14" style="0" width="16.84"/>
    <col collapsed="false" customWidth="true" hidden="true" outlineLevel="0" max="15" min="15" style="0" width="15.85"/>
    <col collapsed="false" customWidth="true" hidden="true" outlineLevel="0" max="16" min="16" style="0" width="13.99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169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(L28-H10+17820)*1.2</f>
        <v>1245024</v>
      </c>
      <c r="I8" s="58" t="s">
        <v>116</v>
      </c>
      <c r="J8" s="49" t="n">
        <v>0</v>
      </c>
      <c r="L8" s="59" t="n">
        <f aca="false">L30</f>
        <v>1223640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(L30-L28+3564)</f>
        <v>207504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6</v>
      </c>
      <c r="L11" s="59" t="n">
        <f aca="false">J11*K11</f>
        <v>289621.0875</v>
      </c>
      <c r="N11" s="67" t="s">
        <v>170</v>
      </c>
      <c r="O11" s="67" t="s">
        <v>171</v>
      </c>
      <c r="P11" s="67" t="s">
        <v>172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((E12/$E$29)*$K$11)*1.2</f>
        <v>44369.811</v>
      </c>
      <c r="I12" s="58"/>
      <c r="L12" s="59"/>
      <c r="N12" s="67" t="s">
        <v>173</v>
      </c>
      <c r="O12" s="67" t="s">
        <v>174</v>
      </c>
      <c r="P12" s="67" t="s">
        <v>172</v>
      </c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((E13/$E$29)*$K$11)*1.2</f>
        <v>39491.6898</v>
      </c>
      <c r="I13" s="69" t="s">
        <v>125</v>
      </c>
      <c r="J13" s="70"/>
      <c r="K13" s="70"/>
      <c r="L13" s="71" t="n">
        <f aca="false">L8+L11</f>
        <v>1513261.0875</v>
      </c>
      <c r="N13" s="67" t="s">
        <v>175</v>
      </c>
      <c r="O13" s="67" t="s">
        <v>174</v>
      </c>
      <c r="P13" s="67" t="s">
        <v>172</v>
      </c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((E14/$E$29)*$K$11)*1.2</f>
        <v>0.0144000000011874</v>
      </c>
      <c r="N14" s="67" t="s">
        <v>176</v>
      </c>
      <c r="O14" s="67" t="s">
        <v>177</v>
      </c>
      <c r="P14" s="67" t="s">
        <v>172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((E15/$E$29)*$K$11)*1.2</f>
        <v>6273.78</v>
      </c>
      <c r="N15" s="67" t="s">
        <v>178</v>
      </c>
      <c r="O15" s="67" t="s">
        <v>179</v>
      </c>
      <c r="P15" s="67" t="s">
        <v>172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((E16/$E$29)*$K$11)*1.2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7" t="s">
        <v>180</v>
      </c>
      <c r="O16" s="67" t="s">
        <v>179</v>
      </c>
      <c r="P16" s="67" t="s">
        <v>172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((E17/$E$29)*$K$11)*1.2</f>
        <v>354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83" t="s">
        <v>181</v>
      </c>
      <c r="O17" s="83" t="s">
        <v>141</v>
      </c>
      <c r="P17" s="67" t="s">
        <v>172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((E18/$E$29)*$K$11)*1.2</f>
        <v>6429.2952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((E19/$E$29)*$K$11)*1.2</f>
        <v>6552.6192</v>
      </c>
      <c r="I19" s="49" t="s">
        <v>141</v>
      </c>
      <c r="J19" s="49" t="n">
        <v>57750</v>
      </c>
      <c r="K19" s="49" t="n">
        <v>1</v>
      </c>
      <c r="L19" s="49" t="n">
        <f aca="false">J19*K19</f>
        <v>57750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((E20/$E$29)*$K$11)*1.2</f>
        <v>0.96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((E21/$E$29)*$K$11)*1.2</f>
        <v>8147.33459999999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1564147.5042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2</v>
      </c>
      <c r="L24" s="49" t="n">
        <f aca="false">J24*K24</f>
        <v>286000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6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2</v>
      </c>
      <c r="L26" s="49" t="n">
        <f aca="false">J26*K26</f>
        <v>396000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6</v>
      </c>
      <c r="L28" s="49" t="n">
        <f aca="false">SUM(L16:L27)*1.2</f>
        <v>1019700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6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1223640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6</v>
      </c>
      <c r="L34" s="80" t="n">
        <f aca="false">+J34*K34</f>
        <v>289621.0875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49" width="10.41"/>
    <col collapsed="false" customWidth="true" hidden="false" outlineLevel="0" max="11" min="11" style="49" width="10.85"/>
    <col collapsed="false" customWidth="true" hidden="false" outlineLevel="0" max="12" min="12" style="49" width="11.42"/>
  </cols>
  <sheetData>
    <row r="1" customFormat="false" ht="18" hidden="false" customHeight="false" outlineLevel="0" collapsed="false">
      <c r="B1" s="50" t="str">
        <f aca="false">'[19]Team Report'!B1</f>
        <v>Enron North America</v>
      </c>
      <c r="C1" s="50"/>
      <c r="D1" s="50"/>
      <c r="E1" s="50"/>
      <c r="F1" s="50"/>
      <c r="G1" s="52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customFormat="false" ht="18" hidden="false" customHeight="false" outlineLevel="0" collapsed="false">
      <c r="B2" s="50" t="str">
        <f aca="false">'[19]Pull Sheet'!E9</f>
        <v>Research</v>
      </c>
      <c r="C2" s="50"/>
      <c r="D2" s="50"/>
      <c r="E2" s="50"/>
      <c r="F2" s="50"/>
      <c r="G2" s="52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I6" s="88"/>
      <c r="J6" s="80" t="s">
        <v>105</v>
      </c>
      <c r="K6" s="80" t="s">
        <v>106</v>
      </c>
      <c r="L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G7" s="16"/>
      <c r="I7" s="88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'[19]Team Report'!BA25</f>
        <v>3640949.9</v>
      </c>
      <c r="E8" s="64" t="n">
        <f aca="false">((C8/9)*12)*1.2</f>
        <v>5825519.84</v>
      </c>
      <c r="F8" s="64" t="n">
        <f aca="false">L29</f>
        <v>336000</v>
      </c>
      <c r="I8" s="88"/>
      <c r="L8" s="59"/>
      <c r="O8" s="64" t="n">
        <f aca="false">+F8/$F$29*$O$29</f>
        <v>168000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(D9/9)*12</f>
        <v>0</v>
      </c>
      <c r="I9" s="88" t="s">
        <v>116</v>
      </c>
      <c r="J9" s="49" t="n">
        <v>0</v>
      </c>
      <c r="K9" s="49" t="n">
        <f aca="false">K29</f>
        <v>2</v>
      </c>
      <c r="L9" s="59" t="n">
        <f aca="false">L33</f>
        <v>403200</v>
      </c>
      <c r="O9" s="64" t="n">
        <f aca="false">+F9/$F$29*$O$29</f>
        <v>0</v>
      </c>
    </row>
    <row r="10" customFormat="false" ht="12.75" hidden="false" customHeight="fals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(D10/9)*12</f>
        <v>0</v>
      </c>
      <c r="I10" s="88"/>
      <c r="L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'[19]Team Report'!BA26</f>
        <v>762369.14</v>
      </c>
      <c r="E11" s="64" t="n">
        <f aca="false">((C11/9)*12)*1.2</f>
        <v>1219790.624</v>
      </c>
      <c r="F11" s="64" t="n">
        <f aca="false">L33-L29</f>
        <v>67200</v>
      </c>
      <c r="I11" s="88"/>
      <c r="L11" s="59"/>
      <c r="O11" s="64" t="n">
        <f aca="false">+F11/$F$29*$O$29</f>
        <v>33600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'[19]Team Report'!BA27</f>
        <v>173944.73</v>
      </c>
      <c r="E12" s="68" t="n">
        <f aca="false">((C12/9)*12)*1.2</f>
        <v>278311.568</v>
      </c>
      <c r="F12" s="64" t="n">
        <f aca="false">(E12/$E$29)*$F$29</f>
        <v>11359.6558367347</v>
      </c>
      <c r="I12" s="88" t="s">
        <v>78</v>
      </c>
      <c r="J12" s="49" t="n">
        <f aca="false">(E12+E13+E14+E15+E16+E17+E18+E19+E20+E21+E22)/E29</f>
        <v>33269.8053877551</v>
      </c>
      <c r="K12" s="49" t="n">
        <f aca="false">K29</f>
        <v>2</v>
      </c>
      <c r="L12" s="59" t="n">
        <f aca="false">J12*K12</f>
        <v>66539.6107755102</v>
      </c>
      <c r="O12" s="64" t="n">
        <f aca="false">+F12/$F$29*$O$29</f>
        <v>5679.82791836735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'[19]Team Report'!BA28</f>
        <v>293972.73</v>
      </c>
      <c r="E13" s="68" t="n">
        <f aca="false">((C13/9)*12)*1.2</f>
        <v>470356.368</v>
      </c>
      <c r="F13" s="64" t="n">
        <f aca="false">(E13/$E$29)*$F$29</f>
        <v>19198.2191020408</v>
      </c>
      <c r="I13" s="88"/>
      <c r="L13" s="59"/>
      <c r="O13" s="64" t="n">
        <f aca="false">+F13/$F$29*$O$29</f>
        <v>9599.10955102041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'[19]Team Report'!BA32</f>
        <v>67481.55</v>
      </c>
      <c r="E14" s="68" t="n">
        <f aca="false">((C14/9)*12)*1.2</f>
        <v>107970.48</v>
      </c>
      <c r="F14" s="64" t="n">
        <f aca="false">(E14/$E$29)*$F$29</f>
        <v>4406.95836734694</v>
      </c>
      <c r="I14" s="93" t="s">
        <v>125</v>
      </c>
      <c r="J14" s="70"/>
      <c r="K14" s="70"/>
      <c r="L14" s="71" t="n">
        <f aca="false">SUM(L9:L12)</f>
        <v>469739.61077551</v>
      </c>
      <c r="N14" s="0" t="n">
        <v>1699109</v>
      </c>
      <c r="O14" s="64" t="n">
        <f aca="false">+F14/$F$29*$O$29</f>
        <v>2203.47918367347</v>
      </c>
      <c r="P14" s="66" t="n">
        <f aca="false">N14-L14</f>
        <v>1229369.38922449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'[19]Team Report'!BA33</f>
        <v>48511.92</v>
      </c>
      <c r="E15" s="68" t="n">
        <f aca="false">((C15/9)*12)*1.2</f>
        <v>77619.072</v>
      </c>
      <c r="F15" s="64" t="n">
        <f aca="false">(E15/$E$29)*$F$29</f>
        <v>3168.1253877551</v>
      </c>
      <c r="I15" s="26"/>
      <c r="O15" s="64" t="n">
        <f aca="false">+F15/$F$29*$O$29</f>
        <v>1584.06269387755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'[19]Team Report'!BA34</f>
        <v>0</v>
      </c>
      <c r="E16" s="68" t="n">
        <f aca="false">(C16/9)*12</f>
        <v>0</v>
      </c>
      <c r="F16" s="64" t="n">
        <f aca="false">(E16/$E$29)*$F$29</f>
        <v>0</v>
      </c>
      <c r="I16" s="2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'[19]Team Report'!BA35</f>
        <v>2500</v>
      </c>
      <c r="E17" s="68" t="n">
        <f aca="false">((C17/9)*12)*1.2</f>
        <v>4000</v>
      </c>
      <c r="F17" s="64" t="n">
        <f aca="false">(E17/$E$29)*$F$29</f>
        <v>163.265306122449</v>
      </c>
      <c r="I17" s="26" t="s">
        <v>197</v>
      </c>
      <c r="J17" s="49" t="n">
        <f aca="false">30000*1.2</f>
        <v>36000</v>
      </c>
      <c r="K17" s="49" t="n">
        <f aca="false">H17*J17</f>
        <v>0</v>
      </c>
      <c r="L17" s="49" t="n">
        <f aca="false">J17*K17</f>
        <v>0</v>
      </c>
      <c r="O17" s="64" t="n">
        <f aca="false">+F17/$F$29*$O$29</f>
        <v>81.6326530612245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'[19]Team Report'!BA36</f>
        <v>0</v>
      </c>
      <c r="E18" s="68" t="n">
        <f aca="false">(C18/9)*12</f>
        <v>0</v>
      </c>
      <c r="F18" s="64" t="n">
        <f aca="false">(E18/$E$29)*$F$29</f>
        <v>0</v>
      </c>
      <c r="I18" s="0" t="s">
        <v>256</v>
      </c>
      <c r="J18" s="49" t="n">
        <v>48000</v>
      </c>
      <c r="K18" s="49" t="n">
        <v>0</v>
      </c>
      <c r="L18" s="49" t="n">
        <f aca="false">J18*K18</f>
        <v>0</v>
      </c>
      <c r="O18" s="64" t="n">
        <f aca="false">+F18/$F$29*$O$29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'[19]Team Report'!BA37</f>
        <v>129576.92</v>
      </c>
      <c r="E19" s="68" t="n">
        <f aca="false">((C19/9)*12)*1.2</f>
        <v>207323.072</v>
      </c>
      <c r="F19" s="64" t="n">
        <f aca="false">(E19/$E$29)*$F$29</f>
        <v>8462.16620408163</v>
      </c>
      <c r="I19" s="0" t="s">
        <v>138</v>
      </c>
      <c r="J19" s="49" t="n">
        <v>49200</v>
      </c>
      <c r="K19" s="49" t="n">
        <v>0</v>
      </c>
      <c r="L19" s="49" t="n">
        <f aca="false">J19*K19</f>
        <v>0</v>
      </c>
      <c r="O19" s="64" t="n">
        <f aca="false">+F19/$F$29*$O$29</f>
        <v>4231.08310204082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'[19]Team Report'!BA38</f>
        <v>10.03</v>
      </c>
      <c r="E20" s="68" t="n">
        <f aca="false">((C20/9)*12)*1.2</f>
        <v>16.048</v>
      </c>
      <c r="F20" s="64" t="n">
        <f aca="false">(E20/$E$29)*$F$29</f>
        <v>0.655020408163265</v>
      </c>
      <c r="I20" s="0" t="s">
        <v>257</v>
      </c>
      <c r="J20" s="49" t="n">
        <v>57600</v>
      </c>
      <c r="K20" s="49" t="n">
        <v>0</v>
      </c>
      <c r="L20" s="49" t="n">
        <f aca="false">J20*K20</f>
        <v>0</v>
      </c>
      <c r="O20" s="64" t="n">
        <f aca="false">+F20/$F$29*$O$29</f>
        <v>0.327510204081633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'[19]Team Report'!BA42</f>
        <v>302115.48</v>
      </c>
      <c r="E21" s="68" t="n">
        <f aca="false">((C21/9)*12)*1.2</f>
        <v>483384.768</v>
      </c>
      <c r="F21" s="64" t="n">
        <f aca="false">(E21/$E$29)*$F$29</f>
        <v>19729.9905306122</v>
      </c>
      <c r="I21" s="0" t="s">
        <v>150</v>
      </c>
      <c r="J21" s="49" t="n">
        <v>72000</v>
      </c>
      <c r="K21" s="49" t="n">
        <v>0</v>
      </c>
      <c r="L21" s="49" t="n">
        <f aca="false">J21*K21</f>
        <v>0</v>
      </c>
      <c r="O21" s="64" t="n">
        <f aca="false">+F21/$F$29*$O$29</f>
        <v>9864.99526530612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'[19]Team Report'!BA44</f>
        <v>774.43</v>
      </c>
      <c r="E22" s="68" t="n">
        <f aca="false">((C22/9)*12)*1.2</f>
        <v>1239.088</v>
      </c>
      <c r="F22" s="64" t="n">
        <f aca="false">(E22/$E$29)*$F$29</f>
        <v>50.5750204081633</v>
      </c>
      <c r="I22" s="0" t="s">
        <v>141</v>
      </c>
      <c r="J22" s="49" t="n">
        <v>62400</v>
      </c>
      <c r="K22" s="49" t="n">
        <v>0</v>
      </c>
      <c r="L22" s="49" t="n">
        <f aca="false">J22*K22</f>
        <v>0</v>
      </c>
      <c r="O22" s="64" t="n">
        <f aca="false">+F22/$F$29*$O$29</f>
        <v>25.2875102040816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469739.61077551</v>
      </c>
      <c r="I23" s="0" t="s">
        <v>289</v>
      </c>
      <c r="J23" s="49" t="n">
        <v>74400</v>
      </c>
      <c r="K23" s="49" t="n">
        <v>0</v>
      </c>
      <c r="L23" s="49" t="n">
        <f aca="false">J23*K23</f>
        <v>0</v>
      </c>
      <c r="O23" s="96" t="n">
        <f aca="false">SUM(O8:O22)</f>
        <v>234869.805387755</v>
      </c>
    </row>
    <row r="24" customFormat="false" ht="12.75" hidden="false" customHeight="false" outlineLevel="0" collapsed="false">
      <c r="I24" s="0" t="s">
        <v>259</v>
      </c>
      <c r="J24" s="49" t="n">
        <v>90000</v>
      </c>
      <c r="K24" s="49" t="n">
        <v>0</v>
      </c>
      <c r="L24" s="49" t="n">
        <f aca="false">J24*K24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v>44</v>
      </c>
      <c r="F25" s="77" t="n">
        <f aca="false">+K29</f>
        <v>2</v>
      </c>
      <c r="I25" s="0" t="s">
        <v>260</v>
      </c>
      <c r="J25" s="49" t="n">
        <v>120000</v>
      </c>
      <c r="K25" s="49" t="n">
        <v>1</v>
      </c>
      <c r="L25" s="49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I26" s="0" t="s">
        <v>290</v>
      </c>
      <c r="J26" s="49" t="n">
        <v>178800</v>
      </c>
      <c r="K26" s="49" t="n">
        <v>0</v>
      </c>
      <c r="L26" s="49" t="n">
        <f aca="false">J26*K26</f>
        <v>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5</v>
      </c>
      <c r="F27" s="77" t="n">
        <v>0</v>
      </c>
      <c r="I27" s="0" t="s">
        <v>262</v>
      </c>
      <c r="J27" s="49" t="n">
        <v>216000</v>
      </c>
      <c r="K27" s="49" t="n">
        <v>1</v>
      </c>
      <c r="L27" s="49" t="n">
        <f aca="false">J27*K27</f>
        <v>216000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263</v>
      </c>
      <c r="J28" s="49" t="n">
        <v>312000</v>
      </c>
      <c r="K28" s="49" t="n">
        <f aca="false">H27*J28</f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49</v>
      </c>
      <c r="F29" s="77" t="n">
        <f aca="false">+F27+F25</f>
        <v>2</v>
      </c>
      <c r="G29" s="49"/>
      <c r="K29" s="49" t="n">
        <f aca="false">SUM(K17:K28)</f>
        <v>2</v>
      </c>
      <c r="L29" s="49" t="n">
        <f aca="false">SUM(L17:L28)</f>
        <v>336000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'[19]Team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'[19]Team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'[19]Team Report'!BA31</f>
        <v>0</v>
      </c>
      <c r="E33" s="64" t="n">
        <f aca="false">(C33/9)*12</f>
        <v>0</v>
      </c>
      <c r="L33" s="49" t="n">
        <f aca="false">L29*1.2</f>
        <v>403200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'[19]Team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'[19]Team Report'!BA40</f>
        <v>147341.9</v>
      </c>
      <c r="E35" s="64" t="n">
        <f aca="false">(C35/9)*12</f>
        <v>196455.866666667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'[19]Team Report'!BA41</f>
        <v>285701.8</v>
      </c>
      <c r="E36" s="64" t="n">
        <f aca="false">(C36/9)*12</f>
        <v>380935.733333333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'[19]Team Report'!BA43</f>
        <v>-4445984</v>
      </c>
      <c r="E37" s="64" t="n">
        <f aca="false">(C37/9)*12</f>
        <v>-5927978.66666667</v>
      </c>
      <c r="G37" s="16" t="s">
        <v>160</v>
      </c>
      <c r="I37" s="49"/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'[19]Team Report'!BA45</f>
        <v>1176.06</v>
      </c>
      <c r="E38" s="64" t="n">
        <f aca="false">(C38/9)*12</f>
        <v>1568.08</v>
      </c>
      <c r="I38" s="49"/>
      <c r="L38" s="0"/>
    </row>
    <row r="39" customFormat="false" ht="12.75" hidden="true" customHeight="false" outlineLevel="0" collapsed="false">
      <c r="G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C40" s="102" t="n">
        <f aca="false">C23+C31+C32+C33+C34+C35+C36+C37+C38</f>
        <v>1410442.59</v>
      </c>
      <c r="G40" s="81" t="n">
        <f aca="false">SUM(E12:E22)</f>
        <v>1630220.464</v>
      </c>
      <c r="I40" s="109" t="n">
        <f aca="false">+E29</f>
        <v>49</v>
      </c>
      <c r="J40" s="80" t="n">
        <f aca="false">+G40/I40</f>
        <v>33269.8053877551</v>
      </c>
      <c r="K40" s="109" t="n">
        <f aca="false">+K12</f>
        <v>2</v>
      </c>
      <c r="L40" s="80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50" t="str">
        <f aca="false">'[19]Team Report'!B1</f>
        <v>Enron North America</v>
      </c>
      <c r="C1" s="50"/>
      <c r="D1" s="50"/>
      <c r="E1" s="50"/>
      <c r="F1" s="50"/>
      <c r="G1" s="52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customFormat="false" ht="18" hidden="false" customHeight="false" outlineLevel="0" collapsed="false">
      <c r="B2" s="50" t="s">
        <v>66</v>
      </c>
      <c r="C2" s="50"/>
      <c r="D2" s="50"/>
      <c r="E2" s="50"/>
      <c r="F2" s="50"/>
      <c r="G2" s="52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I6" s="88"/>
      <c r="J6" s="80" t="s">
        <v>105</v>
      </c>
      <c r="K6" s="80" t="s">
        <v>106</v>
      </c>
      <c r="L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G7" s="16"/>
      <c r="I7" s="88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'[19]Team Report'!BA25</f>
        <v>3640949.9</v>
      </c>
      <c r="E8" s="64" t="n">
        <f aca="false">((C8/9)*12)*1.2</f>
        <v>5825519.84</v>
      </c>
      <c r="F8" s="64" t="n">
        <f aca="false">L29+433200</f>
        <v>1952400</v>
      </c>
      <c r="I8" s="88"/>
      <c r="L8" s="59"/>
      <c r="O8" s="64" t="n">
        <f aca="false">+F8/$F$29*$O$29</f>
        <v>177490.909090909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(D9/9)*12</f>
        <v>0</v>
      </c>
      <c r="I9" s="88" t="s">
        <v>116</v>
      </c>
      <c r="J9" s="49" t="n">
        <v>0</v>
      </c>
      <c r="K9" s="49" t="n">
        <f aca="false">K29</f>
        <v>11</v>
      </c>
      <c r="L9" s="59" t="n">
        <f aca="false">L33</f>
        <v>1823040</v>
      </c>
      <c r="O9" s="64" t="n">
        <f aca="false">+F9/$F$29*$O$29</f>
        <v>0</v>
      </c>
    </row>
    <row r="10" customFormat="false" ht="12.75" hidden="false" customHeight="fals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(D10/9)*12</f>
        <v>0</v>
      </c>
      <c r="I10" s="88"/>
      <c r="L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'[19]Team Report'!BA26</f>
        <v>762369.14</v>
      </c>
      <c r="E11" s="64" t="n">
        <f aca="false">((C11/9)*12)*1.2</f>
        <v>1219790.624</v>
      </c>
      <c r="F11" s="64" t="n">
        <f aca="false">L33-L29+86640</f>
        <v>390480</v>
      </c>
      <c r="I11" s="88"/>
      <c r="L11" s="59"/>
      <c r="O11" s="64" t="n">
        <f aca="false">+F11/$F$29*$O$29</f>
        <v>35498.1818181818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'[19]Team Report'!BA27</f>
        <v>173944.73</v>
      </c>
      <c r="E12" s="68" t="n">
        <f aca="false">((C12/9)*12)*1.2</f>
        <v>278311.568</v>
      </c>
      <c r="F12" s="64" t="n">
        <f aca="false">(E12/$E$29)*$F$29</f>
        <v>62478.1071020408</v>
      </c>
      <c r="I12" s="88" t="s">
        <v>78</v>
      </c>
      <c r="J12" s="49" t="n">
        <f aca="false">(E12+E13+E14+E15+E16+E17+E18+E19+E20+E21+E22)/E29</f>
        <v>33269.8053877551</v>
      </c>
      <c r="K12" s="49" t="n">
        <f aca="false">K29</f>
        <v>11</v>
      </c>
      <c r="L12" s="59" t="n">
        <f aca="false">J12*K12</f>
        <v>365967.859265306</v>
      </c>
      <c r="O12" s="64" t="n">
        <f aca="false">+F12/$F$29*$O$29</f>
        <v>5679.82791836735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'[19]Team Report'!BA28</f>
        <v>293972.73</v>
      </c>
      <c r="E13" s="68" t="n">
        <f aca="false">((C13/9)*12)*1.2</f>
        <v>470356.368</v>
      </c>
      <c r="F13" s="64" t="n">
        <f aca="false">(E13/$E$29)*$F$29</f>
        <v>105590.205061225</v>
      </c>
      <c r="I13" s="88"/>
      <c r="L13" s="59"/>
      <c r="O13" s="64" t="n">
        <f aca="false">+F13/$F$29*$O$29</f>
        <v>9599.10955102041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'[19]Team Report'!BA32</f>
        <v>67481.55</v>
      </c>
      <c r="E14" s="68" t="n">
        <f aca="false">((C14/9)*12)*1.2</f>
        <v>107970.48</v>
      </c>
      <c r="F14" s="64" t="n">
        <f aca="false">(E14/$E$29)*$F$29</f>
        <v>24238.2710204082</v>
      </c>
      <c r="I14" s="93" t="s">
        <v>125</v>
      </c>
      <c r="J14" s="70"/>
      <c r="K14" s="70"/>
      <c r="L14" s="71" t="n">
        <f aca="false">SUM(L9:L12)</f>
        <v>2189007.85926531</v>
      </c>
      <c r="N14" s="0" t="n">
        <v>1699109</v>
      </c>
      <c r="O14" s="64" t="n">
        <f aca="false">+F14/$F$29*$O$29</f>
        <v>2203.47918367347</v>
      </c>
      <c r="P14" s="66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'[19]Team Report'!BA33</f>
        <v>48511.92</v>
      </c>
      <c r="E15" s="68" t="n">
        <f aca="false">((C15/9)*12)*1.2</f>
        <v>77619.072</v>
      </c>
      <c r="F15" s="64" t="n">
        <f aca="false">(E15/$E$29)*$F$29</f>
        <v>17424.6896326531</v>
      </c>
      <c r="I15" s="26"/>
      <c r="O15" s="64" t="n">
        <f aca="false">+F15/$F$29*$O$29</f>
        <v>1584.06269387755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'[19]Team Report'!BA34</f>
        <v>0</v>
      </c>
      <c r="E16" s="68" t="n">
        <f aca="false">(C16/9)*12</f>
        <v>0</v>
      </c>
      <c r="F16" s="64" t="n">
        <f aca="false">(E16/$E$29)*$F$29</f>
        <v>0</v>
      </c>
      <c r="I16" s="2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'[19]Team Report'!BA35</f>
        <v>2500</v>
      </c>
      <c r="E17" s="68" t="n">
        <f aca="false">((C17/9)*12)*1.2</f>
        <v>4000</v>
      </c>
      <c r="F17" s="64" t="n">
        <f aca="false">(E17/$E$29)*$F$29</f>
        <v>897.959183673469</v>
      </c>
      <c r="I17" s="26" t="s">
        <v>197</v>
      </c>
      <c r="J17" s="49" t="n">
        <f aca="false">30000*1.2</f>
        <v>36000</v>
      </c>
      <c r="K17" s="49" t="n">
        <f aca="false">H17*J17</f>
        <v>0</v>
      </c>
      <c r="L17" s="49" t="n">
        <f aca="false">J17*K17</f>
        <v>0</v>
      </c>
      <c r="O17" s="64" t="n">
        <f aca="false">+F17/$F$29*$O$29</f>
        <v>81.6326530612245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'[19]Team Report'!BA36</f>
        <v>0</v>
      </c>
      <c r="E18" s="68" t="n">
        <f aca="false">(C18/9)*12</f>
        <v>0</v>
      </c>
      <c r="F18" s="64" t="n">
        <f aca="false">(E18/$E$29)*$F$29</f>
        <v>0</v>
      </c>
      <c r="I18" s="0" t="s">
        <v>256</v>
      </c>
      <c r="J18" s="49" t="n">
        <v>48000</v>
      </c>
      <c r="K18" s="49" t="n">
        <v>1</v>
      </c>
      <c r="L18" s="49" t="n">
        <f aca="false">J18*K18</f>
        <v>48000</v>
      </c>
      <c r="O18" s="64" t="n">
        <f aca="false">+F18/$F$29*$O$29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'[19]Team Report'!BA37</f>
        <v>129576.92</v>
      </c>
      <c r="E19" s="68" t="n">
        <f aca="false">((C19/9)*12)*1.2</f>
        <v>207323.072</v>
      </c>
      <c r="F19" s="64" t="n">
        <f aca="false">(E19/$E$29)*$F$29+60000</f>
        <v>106541.914122449</v>
      </c>
      <c r="I19" s="0" t="s">
        <v>138</v>
      </c>
      <c r="J19" s="49" t="n">
        <v>49200</v>
      </c>
      <c r="K19" s="49" t="n">
        <v>0</v>
      </c>
      <c r="L19" s="49" t="n">
        <f aca="false">J19*K19</f>
        <v>0</v>
      </c>
      <c r="O19" s="64" t="n">
        <f aca="false">+F19/$F$29*$O$29</f>
        <v>9685.62855658627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'[19]Team Report'!BA38</f>
        <v>10.03</v>
      </c>
      <c r="E20" s="68" t="n">
        <f aca="false">((C20/9)*12)*1.2</f>
        <v>16.048</v>
      </c>
      <c r="F20" s="64" t="n">
        <f aca="false">(E20/$E$29)*$F$29</f>
        <v>3.60261224489796</v>
      </c>
      <c r="I20" s="0" t="s">
        <v>257</v>
      </c>
      <c r="J20" s="49" t="n">
        <v>57600</v>
      </c>
      <c r="K20" s="49" t="n">
        <v>0</v>
      </c>
      <c r="L20" s="49" t="n">
        <f aca="false">J20*K20</f>
        <v>0</v>
      </c>
      <c r="O20" s="64" t="n">
        <f aca="false">+F20/$F$29*$O$29</f>
        <v>0.327510204081633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'[19]Team Report'!BA42</f>
        <v>302115.48</v>
      </c>
      <c r="E21" s="68" t="n">
        <f aca="false">((C21/9)*12)*1.2</f>
        <v>483384.768</v>
      </c>
      <c r="F21" s="64" t="n">
        <f aca="false">(E21/$E$29)*$F$29</f>
        <v>108514.947918367</v>
      </c>
      <c r="I21" s="0" t="s">
        <v>150</v>
      </c>
      <c r="J21" s="49" t="n">
        <v>72000</v>
      </c>
      <c r="K21" s="49" t="n">
        <v>0</v>
      </c>
      <c r="L21" s="49" t="n">
        <f aca="false">J21*K21</f>
        <v>0</v>
      </c>
      <c r="O21" s="64" t="n">
        <f aca="false">+F21/$F$29*$O$29</f>
        <v>9864.99526530612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'[19]Team Report'!BA44</f>
        <v>774.43</v>
      </c>
      <c r="E22" s="68" t="n">
        <f aca="false">((C22/9)*12)*1.2</f>
        <v>1239.088</v>
      </c>
      <c r="F22" s="64" t="n">
        <f aca="false">(E22/$E$29)*$F$29</f>
        <v>278.162612244898</v>
      </c>
      <c r="I22" s="0" t="s">
        <v>141</v>
      </c>
      <c r="J22" s="49" t="n">
        <v>62400</v>
      </c>
      <c r="K22" s="49" t="n">
        <v>0</v>
      </c>
      <c r="L22" s="49" t="n">
        <f aca="false">J22*K22</f>
        <v>0</v>
      </c>
      <c r="O22" s="64" t="n">
        <f aca="false">+F22/$F$29*$O$29</f>
        <v>25.2875102040816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2768847.85926531</v>
      </c>
      <c r="I23" s="0" t="s">
        <v>289</v>
      </c>
      <c r="J23" s="49" t="n">
        <v>74400</v>
      </c>
      <c r="K23" s="49" t="n">
        <v>1</v>
      </c>
      <c r="L23" s="49" t="n">
        <f aca="false">J23*K23</f>
        <v>74400</v>
      </c>
      <c r="O23" s="96" t="n">
        <f aca="false">SUM(O8:O22)</f>
        <v>251713.441751391</v>
      </c>
    </row>
    <row r="24" customFormat="false" ht="12.75" hidden="false" customHeight="false" outlineLevel="0" collapsed="false">
      <c r="I24" s="0" t="s">
        <v>259</v>
      </c>
      <c r="J24" s="49" t="n">
        <v>90000</v>
      </c>
      <c r="K24" s="49" t="n">
        <v>1</v>
      </c>
      <c r="L24" s="49" t="n">
        <f aca="false">J24*K24</f>
        <v>90000</v>
      </c>
    </row>
    <row r="25" customFormat="false" ht="12.75" hidden="false" customHeight="false" outlineLevel="0" collapsed="false">
      <c r="B25" s="73" t="s">
        <v>7</v>
      </c>
      <c r="C25" s="64"/>
      <c r="E25" s="77" t="n">
        <v>44</v>
      </c>
      <c r="F25" s="77" t="n">
        <f aca="false">+K29</f>
        <v>11</v>
      </c>
      <c r="I25" s="0" t="s">
        <v>260</v>
      </c>
      <c r="J25" s="49" t="n">
        <v>120000</v>
      </c>
      <c r="K25" s="49" t="n">
        <v>5</v>
      </c>
      <c r="L25" s="49" t="n">
        <f aca="false">J25*K25</f>
        <v>600000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I26" s="0" t="s">
        <v>261</v>
      </c>
      <c r="J26" s="49" t="n">
        <v>178800</v>
      </c>
      <c r="K26" s="49" t="n">
        <v>1</v>
      </c>
      <c r="L26" s="49" t="n">
        <f aca="false">J26*K26</f>
        <v>178800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5</v>
      </c>
      <c r="F27" s="77" t="n">
        <v>0</v>
      </c>
      <c r="I27" s="0" t="s">
        <v>262</v>
      </c>
      <c r="J27" s="49" t="n">
        <v>216000</v>
      </c>
      <c r="K27" s="49" t="n">
        <v>1</v>
      </c>
      <c r="L27" s="49" t="n">
        <f aca="false">J27*K27</f>
        <v>216000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263</v>
      </c>
      <c r="J28" s="49" t="n">
        <v>312000</v>
      </c>
      <c r="K28" s="49" t="n">
        <v>1</v>
      </c>
      <c r="L28" s="49" t="n">
        <f aca="false">J28*K28</f>
        <v>312000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49</v>
      </c>
      <c r="F29" s="77" t="n">
        <f aca="false">+F27+F25</f>
        <v>11</v>
      </c>
      <c r="G29" s="49"/>
      <c r="K29" s="49" t="n">
        <f aca="false">SUM(K17:K28)</f>
        <v>11</v>
      </c>
      <c r="L29" s="49" t="n">
        <f aca="false">SUM(L17:L28)</f>
        <v>1519200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'[19]Team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'[19]Team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'[19]Team Report'!BA31</f>
        <v>0</v>
      </c>
      <c r="E33" s="64" t="n">
        <f aca="false">(C33/9)*12</f>
        <v>0</v>
      </c>
      <c r="L33" s="49" t="n">
        <f aca="false">L29*1.2</f>
        <v>1823040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'[19]Team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'[19]Team Report'!BA40</f>
        <v>147341.9</v>
      </c>
      <c r="E35" s="64" t="n">
        <f aca="false">(C35/9)*12</f>
        <v>196455.866666667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'[19]Team Report'!BA41</f>
        <v>285701.8</v>
      </c>
      <c r="E36" s="64" t="n">
        <f aca="false">(C36/9)*12</f>
        <v>380935.733333333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'[19]Team Report'!BA43</f>
        <v>-4445984</v>
      </c>
      <c r="E37" s="64" t="n">
        <f aca="false">(C37/9)*12</f>
        <v>-5927978.66666667</v>
      </c>
      <c r="G37" s="16" t="s">
        <v>160</v>
      </c>
      <c r="I37" s="49"/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'[19]Team Report'!BA45</f>
        <v>1176.06</v>
      </c>
      <c r="E38" s="64" t="n">
        <f aca="false">(C38/9)*12</f>
        <v>1568.08</v>
      </c>
      <c r="I38" s="49"/>
      <c r="L38" s="0"/>
    </row>
    <row r="39" customFormat="false" ht="12.75" hidden="true" customHeight="false" outlineLevel="0" collapsed="false">
      <c r="G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C40" s="102" t="n">
        <f aca="false">C23+C31+C32+C33+C34+C35+C36+C37+C38</f>
        <v>1410442.59</v>
      </c>
      <c r="G40" s="81" t="n">
        <f aca="false">SUM(E12:E22)</f>
        <v>1630220.464</v>
      </c>
      <c r="I40" s="109" t="n">
        <f aca="false">+E29</f>
        <v>49</v>
      </c>
      <c r="J40" s="80" t="n">
        <f aca="false">+G40/I40</f>
        <v>33269.8053877551</v>
      </c>
      <c r="K40" s="109" t="n">
        <f aca="false">+K12</f>
        <v>11</v>
      </c>
      <c r="L40" s="80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8" min="13" style="0" width="9.14"/>
  </cols>
  <sheetData>
    <row r="1" customFormat="false" ht="18" hidden="false" customHeight="false" outlineLevel="0" collapsed="false">
      <c r="B1" s="50" t="str">
        <f aca="false">'[19]Team Report'!B1</f>
        <v>Enron North America</v>
      </c>
      <c r="C1" s="50"/>
      <c r="D1" s="50"/>
      <c r="E1" s="50"/>
      <c r="F1" s="50"/>
      <c r="G1" s="52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customFormat="false" ht="18" hidden="false" customHeight="false" outlineLevel="0" collapsed="false">
      <c r="B2" s="50" t="s">
        <v>66</v>
      </c>
      <c r="C2" s="50"/>
      <c r="D2" s="50"/>
      <c r="E2" s="50"/>
      <c r="F2" s="50"/>
      <c r="G2" s="52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I6" s="88"/>
      <c r="J6" s="80" t="s">
        <v>105</v>
      </c>
      <c r="K6" s="80" t="s">
        <v>106</v>
      </c>
      <c r="L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G7" s="16"/>
      <c r="I7" s="88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'[19]Team Report'!BA25</f>
        <v>3640949.9</v>
      </c>
      <c r="E8" s="64" t="n">
        <f aca="false">((C8/9)*12)*1.2</f>
        <v>5825519.84</v>
      </c>
      <c r="F8" s="64" t="n">
        <f aca="false">(L29+(433200/11*8))*1.2</f>
        <v>1859825.45454545</v>
      </c>
      <c r="I8" s="88"/>
      <c r="L8" s="59"/>
      <c r="O8" s="64" t="n">
        <f aca="false">+F8/$F$29*$O$29</f>
        <v>232478.181818182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((D9/9)*12)*1.2</f>
        <v>0</v>
      </c>
      <c r="I9" s="88" t="s">
        <v>116</v>
      </c>
      <c r="J9" s="49" t="n">
        <v>0</v>
      </c>
      <c r="K9" s="49" t="n">
        <f aca="false">K29</f>
        <v>8</v>
      </c>
      <c r="L9" s="59" t="n">
        <f aca="false">L33</f>
        <v>1481760</v>
      </c>
      <c r="O9" s="64" t="n">
        <f aca="false">+F9/$F$29*$O$29</f>
        <v>0</v>
      </c>
    </row>
    <row r="10" customFormat="false" ht="12.75" hidden="false" customHeight="fals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((D10/9)*12)*1.2</f>
        <v>0</v>
      </c>
      <c r="I10" s="88"/>
      <c r="L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'[19]Team Report'!BA26</f>
        <v>762369.14</v>
      </c>
      <c r="E11" s="64" t="n">
        <f aca="false">((C11/9)*12)*1.2</f>
        <v>1219790.624</v>
      </c>
      <c r="F11" s="64" t="n">
        <f aca="false">(L33-L29+(86640/11*8))*1.2</f>
        <v>371965.090909091</v>
      </c>
      <c r="I11" s="88"/>
      <c r="L11" s="59"/>
      <c r="O11" s="64" t="n">
        <f aca="false">+F11/$F$29*$O$29</f>
        <v>46495.6363636364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'[19]Team Report'!BA27</f>
        <v>173944.73</v>
      </c>
      <c r="E12" s="68" t="n">
        <f aca="false">((C12/9)*12)*1.2</f>
        <v>278311.568</v>
      </c>
      <c r="F12" s="64" t="n">
        <f aca="false">((E12/$E$29)*$F$29)*1.2</f>
        <v>54526.3480163265</v>
      </c>
      <c r="I12" s="88" t="s">
        <v>78</v>
      </c>
      <c r="J12" s="49" t="n">
        <f aca="false">(E12+E13+E14+E15+E16+E17+E18+E19+E20+E21+E22)/E29</f>
        <v>33269.8053877551</v>
      </c>
      <c r="K12" s="49" t="n">
        <f aca="false">K29</f>
        <v>8</v>
      </c>
      <c r="L12" s="59" t="n">
        <f aca="false">J12*K12</f>
        <v>266158.443102041</v>
      </c>
      <c r="O12" s="64" t="n">
        <f aca="false">+F12/$F$29*$O$29</f>
        <v>6815.79350204082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'[19]Team Report'!BA28</f>
        <v>293972.73</v>
      </c>
      <c r="E13" s="68" t="n">
        <f aca="false">((C13/9)*12)*1.2</f>
        <v>470356.368</v>
      </c>
      <c r="F13" s="64" t="n">
        <f aca="false">((E13/$E$29)*$F$29)*1.2</f>
        <v>92151.4516897959</v>
      </c>
      <c r="I13" s="88"/>
      <c r="L13" s="59"/>
      <c r="O13" s="64" t="n">
        <f aca="false">+F13/$F$29*$O$29</f>
        <v>11518.9314612245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'[19]Team Report'!BA32</f>
        <v>67481.55</v>
      </c>
      <c r="E14" s="68" t="n">
        <f aca="false">((C14/9)*12)*1.2</f>
        <v>107970.48</v>
      </c>
      <c r="F14" s="64" t="n">
        <f aca="false">((E14/$E$29)*$F$29)*1.2</f>
        <v>21153.4001632653</v>
      </c>
      <c r="I14" s="93" t="s">
        <v>125</v>
      </c>
      <c r="J14" s="70"/>
      <c r="K14" s="70"/>
      <c r="L14" s="71" t="n">
        <f aca="false">SUM(L9:L12)</f>
        <v>1747918.44310204</v>
      </c>
      <c r="N14" s="0" t="n">
        <v>1699109</v>
      </c>
      <c r="O14" s="64" t="n">
        <f aca="false">+F14/$F$29*$O$29</f>
        <v>2644.17502040816</v>
      </c>
      <c r="P14" s="66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'[19]Team Report'!BA33</f>
        <v>48511.92</v>
      </c>
      <c r="E15" s="68" t="n">
        <f aca="false">((C15/9)*12)*1.2</f>
        <v>77619.072</v>
      </c>
      <c r="F15" s="64" t="n">
        <f aca="false">((E15/$E$29)*$F$29)*1.2</f>
        <v>15207.0018612245</v>
      </c>
      <c r="I15" s="26"/>
      <c r="O15" s="64" t="n">
        <f aca="false">+F15/$F$29*$O$29</f>
        <v>1900.87523265306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'[19]Team Report'!BA34</f>
        <v>0</v>
      </c>
      <c r="E16" s="68" t="n">
        <f aca="false">(C16/9)*12</f>
        <v>0</v>
      </c>
      <c r="F16" s="64" t="n">
        <f aca="false">((E16/$E$29)*$F$29)*1.2</f>
        <v>0</v>
      </c>
      <c r="I16" s="2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'[19]Team Report'!BA35</f>
        <v>2500</v>
      </c>
      <c r="E17" s="68" t="n">
        <f aca="false">((C17/9)*12)*1.2</f>
        <v>4000</v>
      </c>
      <c r="F17" s="64" t="n">
        <f aca="false">((E17/$E$29)*$F$29)*1.2</f>
        <v>783.673469387755</v>
      </c>
      <c r="I17" s="26" t="s">
        <v>197</v>
      </c>
      <c r="J17" s="49" t="n">
        <f aca="false">30000*1.2</f>
        <v>36000</v>
      </c>
      <c r="K17" s="49" t="n">
        <f aca="false">H17*J17</f>
        <v>0</v>
      </c>
      <c r="L17" s="49" t="n">
        <f aca="false">J17*K17</f>
        <v>0</v>
      </c>
      <c r="O17" s="64" t="n">
        <f aca="false">+F17/$F$29*$O$29</f>
        <v>97.9591836734694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'[19]Team Report'!BA36</f>
        <v>0</v>
      </c>
      <c r="E18" s="68" t="n">
        <f aca="false">(C18/9)*12</f>
        <v>0</v>
      </c>
      <c r="F18" s="64" t="n">
        <f aca="false">((E18/$E$29)*$F$29)*1.2</f>
        <v>0</v>
      </c>
      <c r="I18" s="0" t="s">
        <v>256</v>
      </c>
      <c r="J18" s="49" t="n">
        <v>48000</v>
      </c>
      <c r="K18" s="49" t="n">
        <v>1</v>
      </c>
      <c r="L18" s="49" t="n">
        <f aca="false">J18*K18</f>
        <v>48000</v>
      </c>
      <c r="O18" s="64" t="n">
        <f aca="false">+F18/$F$29*$O$29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'[19]Team Report'!BA37</f>
        <v>129576.92</v>
      </c>
      <c r="E19" s="68" t="n">
        <f aca="false">((C19/9)*12)*1.2</f>
        <v>207323.072</v>
      </c>
      <c r="F19" s="64" t="n">
        <f aca="false">((E19/$E$29)*$F$29+(60000/11*8))*1.2</f>
        <v>92982.0341432282</v>
      </c>
      <c r="I19" s="0" t="s">
        <v>138</v>
      </c>
      <c r="J19" s="49" t="n">
        <v>49200</v>
      </c>
      <c r="K19" s="49" t="n">
        <v>0</v>
      </c>
      <c r="L19" s="49" t="n">
        <f aca="false">J19*K19</f>
        <v>0</v>
      </c>
      <c r="O19" s="64" t="n">
        <f aca="false">+F19/$F$29*$O$29</f>
        <v>11622.7542679035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'[19]Team Report'!BA38</f>
        <v>10.03</v>
      </c>
      <c r="E20" s="68" t="n">
        <f aca="false">((C20/9)*12)*1.2</f>
        <v>16.048</v>
      </c>
      <c r="F20" s="64" t="n">
        <f aca="false">((E20/$E$29)*$F$29)*1.2</f>
        <v>3.14409795918367</v>
      </c>
      <c r="I20" s="0" t="s">
        <v>257</v>
      </c>
      <c r="J20" s="49" t="n">
        <v>57600</v>
      </c>
      <c r="K20" s="49" t="n">
        <v>0</v>
      </c>
      <c r="L20" s="49" t="n">
        <f aca="false">J20*K20</f>
        <v>0</v>
      </c>
      <c r="O20" s="64" t="n">
        <f aca="false">+F20/$F$29*$O$29</f>
        <v>0.393012244897959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'[19]Team Report'!BA42</f>
        <v>302115.48</v>
      </c>
      <c r="E21" s="68" t="n">
        <f aca="false">((C21/9)*12)*1.2</f>
        <v>483384.768</v>
      </c>
      <c r="F21" s="64" t="n">
        <f aca="false">((E21/$E$29)*$F$29)*1.2</f>
        <v>94703.9545469388</v>
      </c>
      <c r="I21" s="0" t="s">
        <v>150</v>
      </c>
      <c r="J21" s="49" t="n">
        <v>72000</v>
      </c>
      <c r="K21" s="49" t="n">
        <v>0</v>
      </c>
      <c r="L21" s="49" t="n">
        <f aca="false">J21*K21</f>
        <v>0</v>
      </c>
      <c r="O21" s="64" t="n">
        <f aca="false">+F21/$F$29*$O$29</f>
        <v>11837.9943183673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'[19]Team Report'!BA44</f>
        <v>774.43</v>
      </c>
      <c r="E22" s="68" t="n">
        <f aca="false">((C22/9)*12)*1.2</f>
        <v>1239.088</v>
      </c>
      <c r="F22" s="64" t="n">
        <f aca="false">((E22/$E$29)*$F$29)*1.2</f>
        <v>242.760097959184</v>
      </c>
      <c r="I22" s="0" t="s">
        <v>141</v>
      </c>
      <c r="J22" s="49" t="n">
        <v>62400</v>
      </c>
      <c r="K22" s="49" t="n">
        <v>0</v>
      </c>
      <c r="L22" s="49" t="n">
        <f aca="false">J22*K22</f>
        <v>0</v>
      </c>
      <c r="O22" s="64" t="n">
        <f aca="false">+F22/$F$29*$O$29</f>
        <v>30.345012244898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2603544.31354063</v>
      </c>
      <c r="I23" s="0" t="s">
        <v>289</v>
      </c>
      <c r="J23" s="49" t="n">
        <v>74400</v>
      </c>
      <c r="K23" s="49" t="n">
        <v>0</v>
      </c>
      <c r="L23" s="49" t="n">
        <f aca="false">J23*K23</f>
        <v>0</v>
      </c>
      <c r="O23" s="96" t="n">
        <f aca="false">SUM(O8:O22)</f>
        <v>325443.039192579</v>
      </c>
    </row>
    <row r="24" customFormat="false" ht="12.75" hidden="false" customHeight="false" outlineLevel="0" collapsed="false">
      <c r="I24" s="0" t="s">
        <v>259</v>
      </c>
      <c r="J24" s="49" t="n">
        <v>90000</v>
      </c>
      <c r="K24" s="49" t="n">
        <v>0</v>
      </c>
      <c r="L24" s="49" t="n">
        <f aca="false">J24*K24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v>44</v>
      </c>
      <c r="F25" s="77" t="n">
        <f aca="false">+K29</f>
        <v>8</v>
      </c>
      <c r="I25" s="0" t="s">
        <v>260</v>
      </c>
      <c r="J25" s="49" t="n">
        <v>120000</v>
      </c>
      <c r="K25" s="49" t="n">
        <v>4</v>
      </c>
      <c r="L25" s="49" t="n">
        <f aca="false">J25*K25</f>
        <v>480000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I26" s="0" t="s">
        <v>261</v>
      </c>
      <c r="J26" s="49" t="n">
        <v>178800</v>
      </c>
      <c r="K26" s="49" t="n">
        <v>1</v>
      </c>
      <c r="L26" s="49" t="n">
        <f aca="false">J26*K26</f>
        <v>178800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5</v>
      </c>
      <c r="F27" s="77" t="n">
        <v>0</v>
      </c>
      <c r="I27" s="0" t="s">
        <v>262</v>
      </c>
      <c r="J27" s="49" t="n">
        <v>216000</v>
      </c>
      <c r="K27" s="49" t="n">
        <v>1</v>
      </c>
      <c r="L27" s="49" t="n">
        <f aca="false">J27*K27</f>
        <v>216000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263</v>
      </c>
      <c r="J28" s="49" t="n">
        <v>312000</v>
      </c>
      <c r="K28" s="49" t="n">
        <v>1</v>
      </c>
      <c r="L28" s="49" t="n">
        <f aca="false">J28*K28</f>
        <v>312000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49</v>
      </c>
      <c r="F29" s="77" t="n">
        <f aca="false">+F27+F25</f>
        <v>8</v>
      </c>
      <c r="G29" s="49"/>
      <c r="K29" s="49" t="n">
        <f aca="false">SUM(K17:K28)</f>
        <v>8</v>
      </c>
      <c r="L29" s="49" t="n">
        <f aca="false">SUM(L17:L28)</f>
        <v>1234800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'[19]Team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'[19]Team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'[19]Team Report'!BA31</f>
        <v>0</v>
      </c>
      <c r="E33" s="64" t="n">
        <f aca="false">(C33/9)*12</f>
        <v>0</v>
      </c>
      <c r="L33" s="49" t="n">
        <f aca="false">L29*1.2</f>
        <v>1481760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'[19]Team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'[19]Team Report'!BA40</f>
        <v>147341.9</v>
      </c>
      <c r="E35" s="64" t="n">
        <f aca="false">(C35/9)*12</f>
        <v>196455.866666667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'[19]Team Report'!BA41</f>
        <v>285701.8</v>
      </c>
      <c r="E36" s="64" t="n">
        <f aca="false">(C36/9)*12</f>
        <v>380935.733333333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'[19]Team Report'!BA43</f>
        <v>-4445984</v>
      </c>
      <c r="E37" s="64" t="n">
        <f aca="false">(C37/9)*12</f>
        <v>-5927978.66666667</v>
      </c>
      <c r="G37" s="16" t="s">
        <v>160</v>
      </c>
      <c r="I37" s="49"/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'[19]Team Report'!BA45</f>
        <v>1176.06</v>
      </c>
      <c r="E38" s="64" t="n">
        <f aca="false">(C38/9)*12</f>
        <v>1568.08</v>
      </c>
      <c r="I38" s="49"/>
      <c r="L38" s="0"/>
    </row>
    <row r="39" customFormat="false" ht="12.75" hidden="true" customHeight="false" outlineLevel="0" collapsed="false">
      <c r="G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C40" s="102" t="n">
        <f aca="false">C23+C31+C32+C33+C34+C35+C36+C37+C38</f>
        <v>1410442.59</v>
      </c>
      <c r="G40" s="81" t="n">
        <f aca="false">SUM(E12:E22)</f>
        <v>1630220.464</v>
      </c>
      <c r="I40" s="109" t="n">
        <f aca="false">+E29</f>
        <v>49</v>
      </c>
      <c r="J40" s="80" t="n">
        <f aca="false">+G40/I40</f>
        <v>33269.8053877551</v>
      </c>
      <c r="K40" s="109" t="n">
        <f aca="false">+K12</f>
        <v>8</v>
      </c>
      <c r="L40" s="80" t="n">
        <f aca="false">+J40*K40</f>
        <v>266158.443102041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49" width="10.41"/>
    <col collapsed="false" customWidth="true" hidden="true" outlineLevel="0" max="11" min="11" style="49" width="10.85"/>
    <col collapsed="false" customWidth="true" hidden="true" outlineLevel="0" max="12" min="12" style="49" width="11.42"/>
    <col collapsed="false" customWidth="true" hidden="true" outlineLevel="0" max="16" min="13" style="0" width="9.14"/>
  </cols>
  <sheetData>
    <row r="1" customFormat="false" ht="18" hidden="false" customHeight="false" outlineLevel="0" collapsed="false">
      <c r="B1" s="50" t="str">
        <f aca="false">'[19]Team Report'!B1</f>
        <v>Enron North America</v>
      </c>
      <c r="C1" s="50"/>
      <c r="D1" s="50"/>
      <c r="E1" s="50"/>
      <c r="F1" s="50"/>
      <c r="G1" s="52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customFormat="false" ht="18" hidden="false" customHeight="false" outlineLevel="0" collapsed="false">
      <c r="B2" s="50" t="s">
        <v>67</v>
      </c>
      <c r="C2" s="50"/>
      <c r="D2" s="50"/>
      <c r="E2" s="50"/>
      <c r="F2" s="50"/>
      <c r="G2" s="52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I6" s="88"/>
      <c r="J6" s="80" t="s">
        <v>105</v>
      </c>
      <c r="K6" s="80" t="s">
        <v>106</v>
      </c>
      <c r="L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G7" s="16"/>
      <c r="I7" s="88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'[19]Team Report'!BA25</f>
        <v>3640949.9</v>
      </c>
      <c r="E8" s="64" t="n">
        <f aca="false">((C8/9)*12)*1.2</f>
        <v>5825519.84</v>
      </c>
      <c r="F8" s="64" t="n">
        <f aca="false">(L29+(433200/11*3))*1.2</f>
        <v>483054.545454545</v>
      </c>
      <c r="I8" s="88"/>
      <c r="L8" s="59"/>
      <c r="O8" s="64" t="n">
        <f aca="false">+F8/$F$29*$O$29</f>
        <v>161018.181818182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((D9/9)*12)*1.2</f>
        <v>0</v>
      </c>
      <c r="I9" s="88" t="s">
        <v>116</v>
      </c>
      <c r="J9" s="49" t="n">
        <v>0</v>
      </c>
      <c r="K9" s="49" t="n">
        <f aca="false">K29</f>
        <v>3</v>
      </c>
      <c r="L9" s="59" t="n">
        <f aca="false">L33</f>
        <v>341280</v>
      </c>
      <c r="O9" s="64" t="n">
        <f aca="false">+F9/$F$29*$O$29</f>
        <v>0</v>
      </c>
    </row>
    <row r="10" customFormat="false" ht="12.75" hidden="false" customHeight="fals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((D10/9)*12)*1.2</f>
        <v>0</v>
      </c>
      <c r="I10" s="88"/>
      <c r="L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'[19]Team Report'!BA26</f>
        <v>762369.14</v>
      </c>
      <c r="E11" s="64" t="n">
        <f aca="false">((C11/9)*12)*1.2</f>
        <v>1219790.624</v>
      </c>
      <c r="F11" s="64" t="n">
        <f aca="false">(L33-L29+(86640/11*3))*1.2</f>
        <v>96610.9090909091</v>
      </c>
      <c r="I11" s="88"/>
      <c r="L11" s="59"/>
      <c r="O11" s="64" t="n">
        <f aca="false">+F11/$F$29*$O$29</f>
        <v>32203.6363636364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'[19]Team Report'!BA27</f>
        <v>173944.73</v>
      </c>
      <c r="E12" s="68" t="n">
        <f aca="false">((C12/9)*12)*1.2</f>
        <v>278311.568</v>
      </c>
      <c r="F12" s="64" t="n">
        <f aca="false">((E12/$E$29)*$F$29)*1.2</f>
        <v>20447.3805061224</v>
      </c>
      <c r="I12" s="88" t="s">
        <v>78</v>
      </c>
      <c r="J12" s="49" t="n">
        <f aca="false">(E12+E13+E14+E15+E16+E17+E18+E19+E20+E21+E22)/E29</f>
        <v>33269.8053877551</v>
      </c>
      <c r="K12" s="49" t="n">
        <f aca="false">K29</f>
        <v>3</v>
      </c>
      <c r="L12" s="59" t="n">
        <f aca="false">J12*K12</f>
        <v>99809.4161632653</v>
      </c>
      <c r="O12" s="64" t="n">
        <f aca="false">+F12/$F$29*$O$29</f>
        <v>6815.79350204082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'[19]Team Report'!BA28</f>
        <v>293972.73</v>
      </c>
      <c r="E13" s="68" t="n">
        <f aca="false">((C13/9)*12)*1.2</f>
        <v>470356.368</v>
      </c>
      <c r="F13" s="64" t="n">
        <f aca="false">((E13/$E$29)*$F$29)*1.2</f>
        <v>34556.7943836735</v>
      </c>
      <c r="I13" s="88"/>
      <c r="L13" s="59"/>
      <c r="O13" s="64" t="n">
        <f aca="false">+F13/$F$29*$O$29</f>
        <v>11518.9314612245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'[19]Team Report'!BA32</f>
        <v>67481.55</v>
      </c>
      <c r="E14" s="68" t="n">
        <f aca="false">((C14/9)*12)*1.2</f>
        <v>107970.48</v>
      </c>
      <c r="F14" s="64" t="n">
        <f aca="false">((E14/$E$29)*$F$29)*1.2</f>
        <v>7932.52506122449</v>
      </c>
      <c r="I14" s="93" t="s">
        <v>125</v>
      </c>
      <c r="J14" s="70"/>
      <c r="K14" s="70"/>
      <c r="L14" s="71" t="n">
        <f aca="false">SUM(L9:L12)</f>
        <v>441089.416163265</v>
      </c>
      <c r="N14" s="0" t="n">
        <v>1699109</v>
      </c>
      <c r="O14" s="64" t="n">
        <f aca="false">+F14/$F$29*$O$29</f>
        <v>2644.17502040816</v>
      </c>
      <c r="P14" s="66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'[19]Team Report'!BA33</f>
        <v>48511.92</v>
      </c>
      <c r="E15" s="68" t="n">
        <f aca="false">((C15/9)*12)*1.2</f>
        <v>77619.072</v>
      </c>
      <c r="F15" s="64" t="n">
        <f aca="false">((E15/$E$29)*$F$29)*1.2</f>
        <v>5702.62569795918</v>
      </c>
      <c r="I15" s="26"/>
      <c r="O15" s="64" t="n">
        <f aca="false">+F15/$F$29*$O$29</f>
        <v>1900.87523265306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'[19]Team Report'!BA34</f>
        <v>0</v>
      </c>
      <c r="E16" s="68" t="n">
        <f aca="false">(C16/9)*12</f>
        <v>0</v>
      </c>
      <c r="F16" s="64" t="n">
        <f aca="false">((E16/$E$29)*$F$29)*1.2</f>
        <v>0</v>
      </c>
      <c r="I16" s="2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'[19]Team Report'!BA35</f>
        <v>2500</v>
      </c>
      <c r="E17" s="68" t="n">
        <f aca="false">((C17/9)*12)*1.2</f>
        <v>4000</v>
      </c>
      <c r="F17" s="64" t="n">
        <f aca="false">((E17/$E$29)*$F$29)*1.2</f>
        <v>293.877551020408</v>
      </c>
      <c r="I17" s="26" t="s">
        <v>197</v>
      </c>
      <c r="J17" s="49" t="n">
        <f aca="false">30000*1.2</f>
        <v>36000</v>
      </c>
      <c r="K17" s="49" t="n">
        <f aca="false">H17*J17</f>
        <v>0</v>
      </c>
      <c r="L17" s="49" t="n">
        <f aca="false">J17*K17</f>
        <v>0</v>
      </c>
      <c r="O17" s="64" t="n">
        <f aca="false">+F17/$F$29*$O$29</f>
        <v>97.9591836734694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'[19]Team Report'!BA36</f>
        <v>0</v>
      </c>
      <c r="E18" s="68" t="n">
        <f aca="false">(C18/9)*12</f>
        <v>0</v>
      </c>
      <c r="F18" s="64" t="n">
        <f aca="false">((E18/$E$29)*$F$29)*1.2</f>
        <v>0</v>
      </c>
      <c r="I18" s="0" t="s">
        <v>256</v>
      </c>
      <c r="J18" s="49" t="n">
        <v>48000</v>
      </c>
      <c r="K18" s="49" t="n">
        <v>0</v>
      </c>
      <c r="L18" s="49" t="n">
        <f aca="false">J18*K18</f>
        <v>0</v>
      </c>
      <c r="O18" s="64" t="n">
        <f aca="false">+F18/$F$29*$O$29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'[19]Team Report'!BA37</f>
        <v>129576.92</v>
      </c>
      <c r="E19" s="68" t="n">
        <f aca="false">((C19/9)*12)*1.2</f>
        <v>207323.072</v>
      </c>
      <c r="F19" s="64" t="n">
        <f aca="false">((E19/$E$29)*$F$29+(60000/11*3))*1.2</f>
        <v>34868.2628037106</v>
      </c>
      <c r="I19" s="0" t="s">
        <v>138</v>
      </c>
      <c r="J19" s="49" t="n">
        <v>49200</v>
      </c>
      <c r="K19" s="49" t="n">
        <v>0</v>
      </c>
      <c r="L19" s="49" t="n">
        <f aca="false">J19*K19</f>
        <v>0</v>
      </c>
      <c r="O19" s="64" t="n">
        <f aca="false">+F19/$F$29*$O$29</f>
        <v>11622.7542679035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'[19]Team Report'!BA38</f>
        <v>10.03</v>
      </c>
      <c r="E20" s="68" t="n">
        <f aca="false">((C20/9)*12)*1.2</f>
        <v>16.048</v>
      </c>
      <c r="F20" s="64" t="n">
        <f aca="false">((E20/$E$29)*$F$29)*1.2</f>
        <v>1.17903673469388</v>
      </c>
      <c r="I20" s="0" t="s">
        <v>257</v>
      </c>
      <c r="J20" s="49" t="n">
        <v>57600</v>
      </c>
      <c r="K20" s="49" t="n">
        <v>0</v>
      </c>
      <c r="L20" s="49" t="n">
        <f aca="false">J20*K20</f>
        <v>0</v>
      </c>
      <c r="O20" s="64" t="n">
        <f aca="false">+F20/$F$29*$O$29</f>
        <v>0.393012244897959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'[19]Team Report'!BA42</f>
        <v>302115.48</v>
      </c>
      <c r="E21" s="68" t="n">
        <f aca="false">((C21/9)*12)*1.2</f>
        <v>483384.768</v>
      </c>
      <c r="F21" s="64" t="n">
        <f aca="false">((E21/$E$29)*$F$29)*1.2</f>
        <v>35513.982955102</v>
      </c>
      <c r="I21" s="0" t="s">
        <v>150</v>
      </c>
      <c r="J21" s="49" t="n">
        <v>72000</v>
      </c>
      <c r="K21" s="49" t="n">
        <v>0</v>
      </c>
      <c r="L21" s="49" t="n">
        <f aca="false">J21*K21</f>
        <v>0</v>
      </c>
      <c r="O21" s="64" t="n">
        <f aca="false">+F21/$F$29*$O$29</f>
        <v>11837.9943183673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'[19]Team Report'!BA44</f>
        <v>774.43</v>
      </c>
      <c r="E22" s="68" t="n">
        <f aca="false">((C22/9)*12)*1.2</f>
        <v>1239.088</v>
      </c>
      <c r="F22" s="64" t="n">
        <f aca="false">((E22/$E$29)*$F$29)*1.2</f>
        <v>91.0350367346939</v>
      </c>
      <c r="I22" s="0" t="s">
        <v>141</v>
      </c>
      <c r="J22" s="49" t="n">
        <v>62400</v>
      </c>
      <c r="K22" s="49" t="n">
        <v>0</v>
      </c>
      <c r="L22" s="49" t="n">
        <f aca="false">J22*K22</f>
        <v>0</v>
      </c>
      <c r="O22" s="64" t="n">
        <f aca="false">+F22/$F$29*$O$29</f>
        <v>30.345012244898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5422206.83</v>
      </c>
      <c r="E23" s="74" t="n">
        <f aca="false">SUM(E8:E22)</f>
        <v>8675530.928</v>
      </c>
      <c r="F23" s="74" t="n">
        <f aca="false">SUM(F8:F22)</f>
        <v>719073.117577737</v>
      </c>
      <c r="I23" s="0" t="s">
        <v>289</v>
      </c>
      <c r="J23" s="49" t="n">
        <v>74400</v>
      </c>
      <c r="K23" s="49" t="n">
        <v>1</v>
      </c>
      <c r="L23" s="49" t="n">
        <f aca="false">J23*K23</f>
        <v>74400</v>
      </c>
      <c r="O23" s="96" t="n">
        <f aca="false">SUM(O8:O22)</f>
        <v>239691.039192579</v>
      </c>
    </row>
    <row r="24" customFormat="false" ht="12.75" hidden="false" customHeight="false" outlineLevel="0" collapsed="false">
      <c r="I24" s="0" t="s">
        <v>259</v>
      </c>
      <c r="J24" s="49" t="n">
        <v>90000</v>
      </c>
      <c r="K24" s="49" t="n">
        <v>1</v>
      </c>
      <c r="L24" s="49" t="n">
        <f aca="false">J24*K24</f>
        <v>90000</v>
      </c>
    </row>
    <row r="25" customFormat="false" ht="12.75" hidden="false" customHeight="false" outlineLevel="0" collapsed="false">
      <c r="B25" s="73" t="s">
        <v>7</v>
      </c>
      <c r="C25" s="64"/>
      <c r="E25" s="77" t="n">
        <v>44</v>
      </c>
      <c r="F25" s="77" t="n">
        <f aca="false">+K29</f>
        <v>3</v>
      </c>
      <c r="I25" s="0" t="s">
        <v>260</v>
      </c>
      <c r="J25" s="49" t="n">
        <v>120000</v>
      </c>
      <c r="K25" s="49" t="n">
        <v>1</v>
      </c>
      <c r="L25" s="49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I26" s="0" t="s">
        <v>261</v>
      </c>
      <c r="J26" s="49" t="n">
        <v>178800</v>
      </c>
      <c r="K26" s="49" t="n">
        <v>0</v>
      </c>
      <c r="L26" s="49" t="n">
        <f aca="false">J26*K26</f>
        <v>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5</v>
      </c>
      <c r="F27" s="77" t="n">
        <v>0</v>
      </c>
      <c r="I27" s="0" t="s">
        <v>262</v>
      </c>
      <c r="J27" s="49" t="n">
        <v>216000</v>
      </c>
      <c r="K27" s="49" t="n">
        <v>0</v>
      </c>
      <c r="L27" s="49" t="n">
        <f aca="false">J27*K27</f>
        <v>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263</v>
      </c>
      <c r="J28" s="49" t="n">
        <v>312000</v>
      </c>
      <c r="K28" s="49" t="n"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49</v>
      </c>
      <c r="F29" s="77" t="n">
        <f aca="false">+F27+F25</f>
        <v>3</v>
      </c>
      <c r="G29" s="49"/>
      <c r="K29" s="49" t="n">
        <f aca="false">SUM(K17:K28)</f>
        <v>3</v>
      </c>
      <c r="L29" s="49" t="n">
        <f aca="false">SUM(L17:L28)</f>
        <v>284400</v>
      </c>
      <c r="O29" s="77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'[19]Team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'[19]Team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'[19]Team Report'!BA31</f>
        <v>0</v>
      </c>
      <c r="E33" s="64" t="n">
        <f aca="false">(C33/9)*12</f>
        <v>0</v>
      </c>
      <c r="L33" s="49" t="n">
        <f aca="false">L29*1.2</f>
        <v>341280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'[19]Team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'[19]Team Report'!BA40</f>
        <v>147341.9</v>
      </c>
      <c r="E35" s="64" t="n">
        <f aca="false">(C35/9)*12</f>
        <v>196455.866666667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'[19]Team Report'!BA41</f>
        <v>285701.8</v>
      </c>
      <c r="E36" s="64" t="n">
        <f aca="false">(C36/9)*12</f>
        <v>380935.733333333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'[19]Team Report'!BA43</f>
        <v>-4445984</v>
      </c>
      <c r="E37" s="64" t="n">
        <f aca="false">(C37/9)*12</f>
        <v>-5927978.66666667</v>
      </c>
      <c r="G37" s="16" t="s">
        <v>160</v>
      </c>
      <c r="I37" s="49"/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'[19]Team Report'!BA45</f>
        <v>1176.06</v>
      </c>
      <c r="E38" s="64" t="n">
        <f aca="false">(C38/9)*12</f>
        <v>1568.08</v>
      </c>
      <c r="I38" s="49"/>
      <c r="L38" s="0"/>
    </row>
    <row r="39" customFormat="false" ht="12.75" hidden="true" customHeight="false" outlineLevel="0" collapsed="false">
      <c r="G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C40" s="102" t="n">
        <f aca="false">C23+C31+C32+C33+C34+C35+C36+C37+C38</f>
        <v>1410442.59</v>
      </c>
      <c r="G40" s="81" t="n">
        <f aca="false">SUM(E12:E22)</f>
        <v>1630220.464</v>
      </c>
      <c r="I40" s="109" t="n">
        <f aca="false">+E29</f>
        <v>49</v>
      </c>
      <c r="J40" s="80" t="n">
        <f aca="false">+G40/I40</f>
        <v>33269.8053877551</v>
      </c>
      <c r="K40" s="109" t="n">
        <f aca="false">+K12</f>
        <v>3</v>
      </c>
      <c r="L40" s="80" t="n">
        <f aca="false">+J40*K40</f>
        <v>99809.4161632653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291</v>
      </c>
      <c r="C2" s="50"/>
      <c r="D2" s="50"/>
      <c r="E2" s="50"/>
      <c r="F2" s="50"/>
      <c r="G2" s="50"/>
      <c r="H2" s="50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3.5" hidden="false" customHeight="false" outlineLevel="0" collapsed="false">
      <c r="J4" s="103" t="s">
        <v>292</v>
      </c>
      <c r="K4" s="103"/>
      <c r="L4" s="103"/>
      <c r="M4" s="103"/>
      <c r="O4" s="103" t="s">
        <v>69</v>
      </c>
      <c r="P4" s="103"/>
      <c r="Q4" s="103"/>
      <c r="R4" s="103"/>
    </row>
    <row r="5" customFormat="false" ht="12.75" hidden="false" customHeight="false" outlineLevel="0" collapsed="false">
      <c r="J5" s="85"/>
      <c r="K5" s="56"/>
      <c r="L5" s="56"/>
      <c r="M5" s="57"/>
      <c r="N5" s="26"/>
      <c r="O5" s="85"/>
      <c r="P5" s="56"/>
      <c r="Q5" s="56"/>
      <c r="R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60" t="s">
        <v>207</v>
      </c>
      <c r="J6" s="88"/>
      <c r="K6" s="80" t="s">
        <v>105</v>
      </c>
      <c r="L6" s="80" t="s">
        <v>106</v>
      </c>
      <c r="M6" s="104" t="s">
        <v>223</v>
      </c>
      <c r="N6" s="26"/>
      <c r="O6" s="88"/>
      <c r="P6" s="80" t="s">
        <v>105</v>
      </c>
      <c r="Q6" s="80" t="s">
        <v>106</v>
      </c>
      <c r="R6" s="104" t="s">
        <v>223</v>
      </c>
      <c r="V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61" t="s">
        <v>208</v>
      </c>
      <c r="J7" s="88"/>
      <c r="M7" s="59"/>
      <c r="N7" s="26"/>
      <c r="O7" s="88"/>
      <c r="P7" s="49"/>
      <c r="Q7" s="49"/>
      <c r="R7" s="59"/>
      <c r="V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M28</f>
        <v>4339200</v>
      </c>
      <c r="F8" s="64" t="n">
        <f aca="false">+M17+M18+M19+M21+M22+M23+M24+M25+M26+M27</f>
        <v>4224000</v>
      </c>
      <c r="J8" s="88"/>
      <c r="M8" s="59"/>
      <c r="N8" s="26"/>
      <c r="O8" s="88"/>
      <c r="P8" s="49"/>
      <c r="Q8" s="49"/>
      <c r="R8" s="59"/>
      <c r="V8" s="64" t="n">
        <f aca="false">+F8/$F$29*$V$29</f>
        <v>93866.6666666667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v>0</v>
      </c>
      <c r="J9" s="88" t="s">
        <v>116</v>
      </c>
      <c r="K9" s="49" t="n">
        <v>0</v>
      </c>
      <c r="L9" s="49" t="n">
        <f aca="false">L28</f>
        <v>45</v>
      </c>
      <c r="M9" s="59" t="n">
        <f aca="false">+M32</f>
        <v>5207040</v>
      </c>
      <c r="N9" s="26"/>
      <c r="O9" s="88" t="s">
        <v>116</v>
      </c>
      <c r="P9" s="49" t="n">
        <v>0</v>
      </c>
      <c r="Q9" s="49" t="n">
        <f aca="false">Q28</f>
        <v>7</v>
      </c>
      <c r="R9" s="59" t="n">
        <f aca="false">+R32</f>
        <v>740160</v>
      </c>
      <c r="V9" s="64" t="n">
        <f aca="false">+F9/$F$29*$V$29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f aca="false">M20</f>
        <v>115200</v>
      </c>
      <c r="J10" s="88"/>
      <c r="M10" s="59"/>
      <c r="N10" s="26"/>
      <c r="O10" s="88"/>
      <c r="P10" s="49"/>
      <c r="Q10" s="49"/>
      <c r="R10" s="59"/>
      <c r="V10" s="64" t="n">
        <f aca="false">+F10/$F$29*$V$29</f>
        <v>2560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M32</f>
        <v>5207040</v>
      </c>
      <c r="F11" s="64" t="n">
        <f aca="false">(F8+F10)*0.2</f>
        <v>867840</v>
      </c>
      <c r="H11" s="0" t="n">
        <v>1.2</v>
      </c>
      <c r="J11" s="88"/>
      <c r="M11" s="59"/>
      <c r="N11" s="26"/>
      <c r="O11" s="88"/>
      <c r="P11" s="49"/>
      <c r="Q11" s="49"/>
      <c r="R11" s="59"/>
      <c r="V11" s="64" t="n">
        <f aca="false">+F11/$F$29*$V$29</f>
        <v>19285.3333333333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(C12/9)*12</f>
        <v>253373.293333333</v>
      </c>
      <c r="F12" s="64" t="n">
        <f aca="false">(E12/$E$29*46)+220000</f>
        <v>333157.004789644</v>
      </c>
      <c r="J12" s="88" t="s">
        <v>78</v>
      </c>
      <c r="K12" s="49" t="n">
        <f aca="false">(E12+E13+E14+E15+E16+E17+E18+E19+E20+E21+22)/E29</f>
        <v>5823.46990291262</v>
      </c>
      <c r="L12" s="49" t="n">
        <f aca="false">L28</f>
        <v>45</v>
      </c>
      <c r="M12" s="59" t="n">
        <f aca="false">K12*L12+600000+704684</f>
        <v>1566740.14563107</v>
      </c>
      <c r="N12" s="26"/>
      <c r="O12" s="88" t="s">
        <v>78</v>
      </c>
      <c r="P12" s="49" t="n">
        <f aca="false">K12</f>
        <v>5823.46990291262</v>
      </c>
      <c r="Q12" s="49" t="n">
        <f aca="false">Q28</f>
        <v>7</v>
      </c>
      <c r="R12" s="59" t="n">
        <f aca="false">P12*Q12+360000-3367</f>
        <v>397397.289320388</v>
      </c>
      <c r="V12" s="64" t="n">
        <f aca="false">+F12/$F$29*$V$29</f>
        <v>7403.48899532542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(C13/9)*12</f>
        <v>104520.773333333</v>
      </c>
      <c r="F13" s="64" t="n">
        <f aca="false">(E13/$E$29*43)</f>
        <v>43634.8859546926</v>
      </c>
      <c r="J13" s="88"/>
      <c r="M13" s="59"/>
      <c r="N13" s="26"/>
      <c r="O13" s="88"/>
      <c r="P13" s="49"/>
      <c r="Q13" s="49"/>
      <c r="R13" s="59"/>
      <c r="V13" s="64" t="n">
        <f aca="false">+F13/$F$29*$V$29</f>
        <v>969.664132326501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F14" s="64" t="n">
        <f aca="false">700000+300000</f>
        <v>1000000</v>
      </c>
      <c r="J14" s="93" t="s">
        <v>125</v>
      </c>
      <c r="K14" s="70"/>
      <c r="L14" s="70"/>
      <c r="M14" s="71" t="n">
        <f aca="false">SUM(M9:M12)</f>
        <v>6773780.14563107</v>
      </c>
      <c r="N14" s="26"/>
      <c r="O14" s="93" t="s">
        <v>125</v>
      </c>
      <c r="P14" s="70"/>
      <c r="Q14" s="70"/>
      <c r="R14" s="71" t="n">
        <f aca="false">SUM(R9:R12)</f>
        <v>1137557.28932039</v>
      </c>
      <c r="V14" s="64" t="n">
        <f aca="false">+F14/$F$29*$V$29</f>
        <v>22222.2222222222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(C15/9)*12</f>
        <v>93228.84</v>
      </c>
      <c r="F15" s="64" t="n">
        <f aca="false">(E15/$E$29*46)+75000</f>
        <v>116636.180970874</v>
      </c>
      <c r="J15" s="26"/>
      <c r="N15" s="26"/>
      <c r="V15" s="64" t="n">
        <f aca="false">+F15/$F$29*$V$29</f>
        <v>2591.91513268608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F16" s="64" t="n">
        <f aca="false">E16/$E$29*46</f>
        <v>0</v>
      </c>
      <c r="I16" s="66" t="n">
        <f aca="false">M14-F23</f>
        <v>-305823.654110033</v>
      </c>
      <c r="J16" s="26"/>
      <c r="M16" s="49" t="n">
        <f aca="false">N16-F23</f>
        <v>831733.635210356</v>
      </c>
      <c r="N16" s="111" t="n">
        <f aca="false">M14+R14</f>
        <v>7911337.43495146</v>
      </c>
      <c r="V16" s="64" t="n">
        <f aca="false">+F16/$F$29*$V$29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F17" s="64" t="n">
        <f aca="false">E17/$E$29*46</f>
        <v>0</v>
      </c>
      <c r="J17" s="26" t="s">
        <v>197</v>
      </c>
      <c r="K17" s="49" t="n">
        <f aca="false">(30000*1.2)</f>
        <v>36000</v>
      </c>
      <c r="L17" s="0" t="n">
        <v>0</v>
      </c>
      <c r="M17" s="49" t="n">
        <f aca="false">K17*L17</f>
        <v>0</v>
      </c>
      <c r="O17" s="26" t="s">
        <v>197</v>
      </c>
      <c r="P17" s="49" t="n">
        <f aca="false">(30000*1.2)</f>
        <v>36000</v>
      </c>
      <c r="Q17" s="26" t="n">
        <v>1</v>
      </c>
      <c r="R17" s="66" t="n">
        <f aca="false">P17*Q17</f>
        <v>36000</v>
      </c>
      <c r="V17" s="64" t="n">
        <f aca="false">+F17/$F$29*$V$29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(C18/9)*12</f>
        <v>25386.2266666667</v>
      </c>
      <c r="F18" s="64" t="n">
        <f aca="false">(E18/$E$29*46)+50000</f>
        <v>61337.5381229774</v>
      </c>
      <c r="J18" s="0" t="s">
        <v>256</v>
      </c>
      <c r="K18" s="49" t="n">
        <f aca="false">(40000*1.2)*1.2</f>
        <v>57600</v>
      </c>
      <c r="L18" s="0" t="n">
        <v>4</v>
      </c>
      <c r="M18" s="49" t="n">
        <f aca="false">K18*L18</f>
        <v>230400</v>
      </c>
      <c r="O18" s="0" t="s">
        <v>256</v>
      </c>
      <c r="P18" s="49" t="n">
        <f aca="false">(40000*1.2)*1.2</f>
        <v>57600</v>
      </c>
      <c r="Q18" s="0" t="n">
        <v>1</v>
      </c>
      <c r="R18" s="66" t="n">
        <f aca="false">P18*Q18</f>
        <v>57600</v>
      </c>
      <c r="V18" s="64" t="n">
        <f aca="false">+F18/$F$29*$V$29</f>
        <v>1363.05640273283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f aca="false">(C19/9)*12</f>
        <v>23229.36</v>
      </c>
      <c r="F19" s="64" t="n">
        <f aca="false">(E19/$E$29*46)+136897</f>
        <v>147271.277281553</v>
      </c>
      <c r="J19" s="0" t="s">
        <v>138</v>
      </c>
      <c r="K19" s="49" t="n">
        <v>49200</v>
      </c>
      <c r="L19" s="0" t="n">
        <v>2</v>
      </c>
      <c r="M19" s="49" t="n">
        <f aca="false">K19*L19</f>
        <v>98400</v>
      </c>
      <c r="O19" s="0" t="s">
        <v>138</v>
      </c>
      <c r="P19" s="49" t="n">
        <v>49200</v>
      </c>
      <c r="Q19" s="0" t="n">
        <v>1</v>
      </c>
      <c r="R19" s="66" t="n">
        <f aca="false">P19*Q19</f>
        <v>49200</v>
      </c>
      <c r="V19" s="64" t="n">
        <f aca="false">+F19/$F$29*$V$29</f>
        <v>3272.69505070119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F20" s="64" t="n">
        <f aca="false">E20/$E$29*46</f>
        <v>0</v>
      </c>
      <c r="J20" s="0" t="s">
        <v>257</v>
      </c>
      <c r="K20" s="49" t="n">
        <v>57600</v>
      </c>
      <c r="L20" s="0" t="n">
        <v>2</v>
      </c>
      <c r="M20" s="49" t="n">
        <f aca="false">K20*L20</f>
        <v>115200</v>
      </c>
      <c r="O20" s="0" t="s">
        <v>257</v>
      </c>
      <c r="P20" s="49" t="n">
        <v>57600</v>
      </c>
      <c r="Q20" s="0" t="n">
        <v>0</v>
      </c>
      <c r="R20" s="66" t="n">
        <f aca="false">P20*Q20</f>
        <v>0</v>
      </c>
      <c r="V20" s="64" t="n">
        <f aca="false">+F20/$F$29*$V$29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(C21/9)*12</f>
        <v>100056.906666667</v>
      </c>
      <c r="F21" s="64" t="n">
        <f aca="false">(E21/$E$29*46)+125000</f>
        <v>169685.608802589</v>
      </c>
      <c r="J21" s="0" t="s">
        <v>141</v>
      </c>
      <c r="K21" s="49" t="n">
        <v>62400</v>
      </c>
      <c r="L21" s="0" t="n">
        <v>7</v>
      </c>
      <c r="M21" s="49" t="n">
        <f aca="false">K21*L21</f>
        <v>436800</v>
      </c>
      <c r="O21" s="0" t="s">
        <v>141</v>
      </c>
      <c r="P21" s="49" t="n">
        <v>62400</v>
      </c>
      <c r="Q21" s="0" t="n">
        <v>0</v>
      </c>
      <c r="R21" s="66" t="n">
        <f aca="false">P21*Q21</f>
        <v>0</v>
      </c>
      <c r="V21" s="64" t="n">
        <f aca="false">+F21/$F$29*$V$29</f>
        <v>3770.7913067242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(C22/9)*12</f>
        <v>1634.98666666667</v>
      </c>
      <c r="F22" s="64" t="n">
        <f aca="false">E22/$E$29*53</f>
        <v>841.303818770227</v>
      </c>
      <c r="J22" s="0" t="s">
        <v>258</v>
      </c>
      <c r="K22" s="49" t="n">
        <v>74400</v>
      </c>
      <c r="L22" s="0" t="n">
        <v>11</v>
      </c>
      <c r="M22" s="49" t="n">
        <f aca="false">K22*L22</f>
        <v>818400</v>
      </c>
      <c r="O22" s="0" t="s">
        <v>258</v>
      </c>
      <c r="P22" s="49" t="n">
        <v>74400</v>
      </c>
      <c r="Q22" s="0" t="n">
        <v>0</v>
      </c>
      <c r="R22" s="66" t="n">
        <f aca="false">P22*Q22</f>
        <v>0</v>
      </c>
      <c r="V22" s="64" t="n">
        <f aca="false">+F22/$F$29*$V$29</f>
        <v>18.6956404171161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7" t="n">
        <f aca="false">SUM(E8:E22)</f>
        <v>10147670.3866667</v>
      </c>
      <c r="F23" s="77" t="n">
        <f aca="false">SUM(F8:F22)</f>
        <v>7079603.7997411</v>
      </c>
      <c r="J23" s="0" t="s">
        <v>259</v>
      </c>
      <c r="K23" s="49" t="n">
        <v>90000</v>
      </c>
      <c r="L23" s="0" t="n">
        <v>9</v>
      </c>
      <c r="M23" s="49" t="n">
        <f aca="false">K23*L23</f>
        <v>810000</v>
      </c>
      <c r="O23" s="0" t="s">
        <v>259</v>
      </c>
      <c r="P23" s="49" t="n">
        <v>90000</v>
      </c>
      <c r="Q23" s="0" t="n">
        <v>2</v>
      </c>
      <c r="R23" s="66" t="n">
        <f aca="false">P23*Q23</f>
        <v>180000</v>
      </c>
      <c r="V23" s="96" t="n">
        <f aca="false">SUM(V8:V22)</f>
        <v>157324.528883136</v>
      </c>
    </row>
    <row r="24" customFormat="false" ht="12.75" hidden="false" customHeight="false" outlineLevel="0" collapsed="false">
      <c r="J24" s="0" t="s">
        <v>260</v>
      </c>
      <c r="K24" s="49" t="n">
        <v>120000</v>
      </c>
      <c r="L24" s="0" t="n">
        <v>4</v>
      </c>
      <c r="M24" s="49" t="n">
        <f aca="false">K24*L24</f>
        <v>480000</v>
      </c>
      <c r="O24" s="0" t="s">
        <v>260</v>
      </c>
      <c r="P24" s="49" t="n">
        <v>120000</v>
      </c>
      <c r="Q24" s="0" t="n">
        <v>1</v>
      </c>
      <c r="R24" s="66" t="n">
        <f aca="false">P24*Q24</f>
        <v>120000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99</v>
      </c>
      <c r="F25" s="107" t="n">
        <f aca="false">SUM(L17:L19,L21:L27)</f>
        <v>43</v>
      </c>
      <c r="J25" s="0" t="s">
        <v>261</v>
      </c>
      <c r="K25" s="49" t="n">
        <v>174000</v>
      </c>
      <c r="L25" s="0" t="n">
        <v>1</v>
      </c>
      <c r="M25" s="49" t="n">
        <f aca="false">K25*L25</f>
        <v>174000</v>
      </c>
      <c r="O25" s="0" t="s">
        <v>261</v>
      </c>
      <c r="P25" s="49" t="n">
        <v>174000</v>
      </c>
      <c r="Q25" s="0" t="n">
        <v>1</v>
      </c>
      <c r="R25" s="66" t="n">
        <f aca="false">P25*Q25</f>
        <v>174000</v>
      </c>
      <c r="V25" s="77" t="n">
        <f aca="false">SUM(AB16:AB20,AB23:AB27)</f>
        <v>0</v>
      </c>
    </row>
    <row r="26" customFormat="false" ht="12.75" hidden="false" customHeight="false" outlineLevel="0" collapsed="false">
      <c r="J26" s="0" t="s">
        <v>262</v>
      </c>
      <c r="K26" s="49" t="n">
        <v>216000</v>
      </c>
      <c r="L26" s="0" t="n">
        <v>4</v>
      </c>
      <c r="M26" s="49" t="n">
        <f aca="false">K26*L26</f>
        <v>864000</v>
      </c>
      <c r="O26" s="0" t="s">
        <v>262</v>
      </c>
      <c r="P26" s="49" t="n">
        <v>216000</v>
      </c>
      <c r="R26" s="66" t="n">
        <f aca="false">P26*Q26</f>
        <v>0</v>
      </c>
      <c r="V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F27" s="107" t="n">
        <v>2</v>
      </c>
      <c r="J27" s="0" t="s">
        <v>263</v>
      </c>
      <c r="K27" s="49" t="n">
        <v>312000</v>
      </c>
      <c r="L27" s="0" t="n">
        <v>1</v>
      </c>
      <c r="M27" s="49" t="n">
        <f aca="false">K27*L27</f>
        <v>312000</v>
      </c>
      <c r="O27" s="0" t="s">
        <v>263</v>
      </c>
      <c r="P27" s="49" t="n">
        <v>312000</v>
      </c>
      <c r="R27" s="66" t="n">
        <f aca="false">P27*Q27</f>
        <v>0</v>
      </c>
      <c r="V27" s="77" t="n">
        <f aca="false">SUM(AB21:AB22)</f>
        <v>0</v>
      </c>
    </row>
    <row r="28" customFormat="false" ht="12.75" hidden="false" customHeight="false" outlineLevel="0" collapsed="false">
      <c r="L28" s="49" t="n">
        <f aca="false">SUM(L17:L27)</f>
        <v>45</v>
      </c>
      <c r="M28" s="49" t="n">
        <f aca="false">SUM(M17:M27)</f>
        <v>4339200</v>
      </c>
      <c r="P28" s="49"/>
      <c r="Q28" s="0" t="n">
        <f aca="false">SUM(Q17:Q27)</f>
        <v>7</v>
      </c>
      <c r="R28" s="66" t="n">
        <f aca="false">SUM(R17:R27)</f>
        <v>616800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103</v>
      </c>
      <c r="F29" s="107" t="n">
        <f aca="false">SUM(F25:F27)</f>
        <v>45</v>
      </c>
      <c r="P29" s="49"/>
      <c r="Q29" s="49"/>
      <c r="V29" s="77" t="n">
        <v>1</v>
      </c>
    </row>
    <row r="30" customFormat="false" ht="12.75" hidden="false" customHeight="false" outlineLevel="0" collapsed="false">
      <c r="B30" s="73"/>
      <c r="J30" s="0" t="s">
        <v>247</v>
      </c>
      <c r="L30" s="78"/>
      <c r="M30" s="78" t="n">
        <v>0.2</v>
      </c>
      <c r="O30" s="0" t="s">
        <v>247</v>
      </c>
      <c r="P30" s="49"/>
      <c r="Q30" s="78"/>
      <c r="R30" s="78" t="n">
        <v>0.2</v>
      </c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F31" s="64"/>
      <c r="P31" s="49"/>
      <c r="Q31" s="49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  <c r="F32" s="64"/>
      <c r="M32" s="49" t="n">
        <f aca="false">M28*1.2</f>
        <v>5207040</v>
      </c>
      <c r="P32" s="49"/>
      <c r="Q32" s="49"/>
      <c r="R32" s="49" t="n">
        <f aca="false">R28*1.2</f>
        <v>740160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F33" s="64"/>
      <c r="P33" s="49"/>
      <c r="Q33" s="49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  <c r="F34" s="64"/>
      <c r="J34" s="16" t="s">
        <v>160</v>
      </c>
      <c r="N34" s="49"/>
    </row>
    <row r="35" customFormat="false" ht="13.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  <c r="F35" s="64"/>
      <c r="J35" s="103" t="s">
        <v>292</v>
      </c>
      <c r="K35" s="103"/>
      <c r="L35" s="103"/>
      <c r="M35" s="103"/>
      <c r="N35" s="49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  <c r="F36" s="64"/>
      <c r="J36" s="79" t="s">
        <v>161</v>
      </c>
      <c r="L36" s="80" t="s">
        <v>162</v>
      </c>
      <c r="M36" s="80" t="s">
        <v>163</v>
      </c>
      <c r="N36" s="80" t="s">
        <v>106</v>
      </c>
      <c r="O36" s="80" t="s">
        <v>164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F37" s="64"/>
      <c r="J37" s="81" t="n">
        <f aca="false">SUM(E12:E21)</f>
        <v>599795.4</v>
      </c>
      <c r="L37" s="109" t="n">
        <f aca="false">E29</f>
        <v>103</v>
      </c>
      <c r="M37" s="80" t="n">
        <f aca="false">+J37/L37</f>
        <v>5823.25631067961</v>
      </c>
      <c r="N37" s="109" t="n">
        <v>46</v>
      </c>
      <c r="O37" s="80" t="n">
        <f aca="false">+M37*N37+500000+571398</f>
        <v>1339267.79029126</v>
      </c>
      <c r="P37" s="0" t="s">
        <v>293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  <c r="F38" s="64"/>
      <c r="P38" s="0" t="s">
        <v>294</v>
      </c>
    </row>
    <row r="39" customFormat="false" ht="12.75" hidden="false" customHeight="false" outlineLevel="0" collapsed="false">
      <c r="A39" s="62"/>
      <c r="B39" s="63"/>
      <c r="C39" s="64"/>
      <c r="E39" s="64"/>
      <c r="F39" s="64"/>
      <c r="P39" s="0" t="s">
        <v>295</v>
      </c>
    </row>
    <row r="40" customFormat="false" ht="12.75" hidden="false" customHeight="false" outlineLevel="0" collapsed="false">
      <c r="A40" s="62"/>
      <c r="B40" s="63"/>
      <c r="C40" s="64"/>
      <c r="E40" s="64"/>
      <c r="F40" s="64"/>
      <c r="P40" s="0" t="s">
        <v>296</v>
      </c>
    </row>
    <row r="41" customFormat="false" ht="13.5" hidden="false" customHeight="false" outlineLevel="0" collapsed="false">
      <c r="A41" s="62"/>
      <c r="B41" s="63"/>
      <c r="C41" s="64"/>
      <c r="E41" s="64"/>
      <c r="F41" s="64"/>
      <c r="J41" s="103" t="s">
        <v>69</v>
      </c>
      <c r="K41" s="103"/>
      <c r="L41" s="103"/>
      <c r="M41" s="103"/>
      <c r="N41" s="49"/>
      <c r="P41" s="0" t="s">
        <v>297</v>
      </c>
    </row>
    <row r="42" customFormat="false" ht="12.75" hidden="false" customHeight="false" outlineLevel="0" collapsed="false">
      <c r="J42" s="79" t="s">
        <v>161</v>
      </c>
      <c r="L42" s="80" t="s">
        <v>162</v>
      </c>
      <c r="M42" s="80" t="s">
        <v>163</v>
      </c>
      <c r="N42" s="80" t="s">
        <v>106</v>
      </c>
      <c r="O42" s="80" t="s">
        <v>164</v>
      </c>
    </row>
    <row r="43" customFormat="false" ht="12.75" hidden="false" customHeight="false" outlineLevel="0" collapsed="false">
      <c r="J43" s="81" t="n">
        <f aca="false">SUM(E12:E21)</f>
        <v>599795.4</v>
      </c>
      <c r="L43" s="109" t="n">
        <v>103</v>
      </c>
      <c r="M43" s="80" t="n">
        <f aca="false">+J43/L43</f>
        <v>5823.25631067961</v>
      </c>
      <c r="N43" s="109" t="n">
        <v>7</v>
      </c>
      <c r="O43" s="80" t="n">
        <f aca="false">+M43*N43+300000</f>
        <v>340762.794174757</v>
      </c>
      <c r="P43" s="0" t="s">
        <v>298</v>
      </c>
    </row>
    <row r="44" customFormat="false" ht="12.75" hidden="false" customHeight="false" outlineLevel="0" collapsed="false">
      <c r="P44" s="0" t="s">
        <v>299</v>
      </c>
    </row>
    <row r="46" customFormat="false" ht="12.75" hidden="false" customHeight="false" outlineLevel="0" collapsed="false">
      <c r="C46" s="102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50" t="str">
        <f aca="false">'[14]Team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69</v>
      </c>
      <c r="C2" s="50"/>
      <c r="D2" s="50"/>
      <c r="E2" s="50"/>
      <c r="F2" s="50"/>
      <c r="G2" s="50"/>
      <c r="H2" s="50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3.5" hidden="false" customHeight="false" outlineLevel="0" collapsed="false">
      <c r="J4" s="103" t="s">
        <v>292</v>
      </c>
      <c r="K4" s="103"/>
      <c r="L4" s="103"/>
      <c r="M4" s="103"/>
      <c r="O4" s="103" t="s">
        <v>69</v>
      </c>
      <c r="P4" s="103"/>
      <c r="Q4" s="103"/>
      <c r="R4" s="103"/>
    </row>
    <row r="5" customFormat="false" ht="12.75" hidden="false" customHeight="false" outlineLevel="0" collapsed="false">
      <c r="J5" s="85"/>
      <c r="K5" s="56"/>
      <c r="L5" s="56"/>
      <c r="M5" s="57"/>
      <c r="N5" s="26"/>
      <c r="O5" s="85"/>
      <c r="P5" s="56"/>
      <c r="Q5" s="56"/>
      <c r="R5" s="5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60" t="s">
        <v>207</v>
      </c>
      <c r="J6" s="88"/>
      <c r="K6" s="80" t="s">
        <v>105</v>
      </c>
      <c r="L6" s="80" t="s">
        <v>106</v>
      </c>
      <c r="M6" s="104" t="s">
        <v>223</v>
      </c>
      <c r="N6" s="26"/>
      <c r="O6" s="88"/>
      <c r="P6" s="80" t="s">
        <v>105</v>
      </c>
      <c r="Q6" s="80" t="s">
        <v>106</v>
      </c>
      <c r="R6" s="104" t="s">
        <v>223</v>
      </c>
      <c r="V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61" t="s">
        <v>208</v>
      </c>
      <c r="J7" s="88"/>
      <c r="M7" s="59"/>
      <c r="N7" s="26"/>
      <c r="O7" s="88"/>
      <c r="P7" s="49"/>
      <c r="Q7" s="49"/>
      <c r="R7" s="59"/>
      <c r="V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'[14]Team Report'!BA25</f>
        <v>4985502.23</v>
      </c>
      <c r="E8" s="64" t="n">
        <f aca="false">M28</f>
        <v>4252800</v>
      </c>
      <c r="F8" s="64" t="n">
        <f aca="false">(R17+R18+R19+R23+R24+R25)*1.2</f>
        <v>658080</v>
      </c>
      <c r="J8" s="88"/>
      <c r="M8" s="59"/>
      <c r="N8" s="26"/>
      <c r="O8" s="88"/>
      <c r="P8" s="49"/>
      <c r="Q8" s="49"/>
      <c r="R8" s="59"/>
      <c r="V8" s="64" t="n">
        <f aca="false">+F8/$F$29*$V$29</f>
        <v>109680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v>0</v>
      </c>
      <c r="J9" s="88" t="s">
        <v>116</v>
      </c>
      <c r="K9" s="49" t="n">
        <v>0</v>
      </c>
      <c r="L9" s="49" t="n">
        <f aca="false">L28</f>
        <v>46</v>
      </c>
      <c r="M9" s="59" t="n">
        <f aca="false">+M32</f>
        <v>5103360</v>
      </c>
      <c r="N9" s="26"/>
      <c r="O9" s="88" t="s">
        <v>116</v>
      </c>
      <c r="P9" s="49" t="n">
        <v>0</v>
      </c>
      <c r="Q9" s="49" t="n">
        <f aca="false">Q28</f>
        <v>6</v>
      </c>
      <c r="R9" s="59" t="n">
        <f aca="false">+R32</f>
        <v>658080</v>
      </c>
      <c r="V9" s="64" t="n">
        <f aca="false">+F9/$F$29*$V$29</f>
        <v>0</v>
      </c>
    </row>
    <row r="10" customFormat="false" ht="12.75" hidden="tru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v>0</v>
      </c>
      <c r="J10" s="88"/>
      <c r="M10" s="59"/>
      <c r="N10" s="26"/>
      <c r="O10" s="88"/>
      <c r="P10" s="49"/>
      <c r="Q10" s="49"/>
      <c r="R10" s="59"/>
      <c r="V10" s="64" t="n">
        <f aca="false">+F10/$F$29*$V$29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'[14]Team Report'!BA26</f>
        <v>1210281.11</v>
      </c>
      <c r="E11" s="64" t="n">
        <f aca="false">M32</f>
        <v>5103360</v>
      </c>
      <c r="F11" s="64" t="n">
        <f aca="false">((F8+F10)*0.2)*1.2</f>
        <v>157939.2</v>
      </c>
      <c r="H11" s="0" t="n">
        <v>1.2</v>
      </c>
      <c r="J11" s="88"/>
      <c r="M11" s="59"/>
      <c r="N11" s="26"/>
      <c r="O11" s="88"/>
      <c r="P11" s="49"/>
      <c r="Q11" s="49"/>
      <c r="R11" s="59"/>
      <c r="V11" s="64" t="n">
        <f aca="false">+F11/$F$29*$V$29</f>
        <v>26323.2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'[14]Team Report'!BA27</f>
        <v>190029.97</v>
      </c>
      <c r="E12" s="64" t="n">
        <f aca="false">(C12/9)*12</f>
        <v>253373.293333333</v>
      </c>
      <c r="F12" s="64" t="n">
        <f aca="false">((E12/$E$29*7)+7477+46)*1.2</f>
        <v>29691.0530485437</v>
      </c>
      <c r="J12" s="88" t="s">
        <v>78</v>
      </c>
      <c r="K12" s="49" t="n">
        <f aca="false">(E12+E13+E14+E15+E16+E17+E18+E19+E20+E21+22)/E29</f>
        <v>5823.46990291262</v>
      </c>
      <c r="L12" s="49" t="n">
        <f aca="false">L28</f>
        <v>46</v>
      </c>
      <c r="M12" s="59" t="n">
        <f aca="false">K12*L12+600000+704684</f>
        <v>1572563.61553398</v>
      </c>
      <c r="N12" s="26"/>
      <c r="O12" s="88" t="s">
        <v>78</v>
      </c>
      <c r="P12" s="49" t="n">
        <f aca="false">K12</f>
        <v>5823.46990291262</v>
      </c>
      <c r="Q12" s="49" t="n">
        <f aca="false">Q28</f>
        <v>6</v>
      </c>
      <c r="R12" s="59" t="n">
        <f aca="false">P12*Q12+360000-3367</f>
        <v>391573.819417476</v>
      </c>
      <c r="V12" s="64" t="n">
        <f aca="false">+F12/$F$29*$V$29</f>
        <v>4948.50884142395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'[14]Team Report'!BA28</f>
        <v>78390.58</v>
      </c>
      <c r="E13" s="64" t="n">
        <f aca="false">(C13/9)*12</f>
        <v>104520.773333333</v>
      </c>
      <c r="F13" s="64" t="n">
        <f aca="false">((E13/$E$29*7)+6000)*1.2</f>
        <v>15724.0242330097</v>
      </c>
      <c r="J13" s="88"/>
      <c r="M13" s="59"/>
      <c r="N13" s="26"/>
      <c r="O13" s="88"/>
      <c r="P13" s="49"/>
      <c r="Q13" s="49"/>
      <c r="R13" s="59"/>
      <c r="V13" s="64" t="n">
        <f aca="false">+F13/$F$29*$V$29</f>
        <v>2620.67070550162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(C14/9)*12</f>
        <v>0</v>
      </c>
      <c r="F14" s="64" t="n">
        <v>396000</v>
      </c>
      <c r="J14" s="93" t="s">
        <v>125</v>
      </c>
      <c r="K14" s="70"/>
      <c r="L14" s="70"/>
      <c r="M14" s="71" t="n">
        <f aca="false">SUM(M9:M12)</f>
        <v>6675923.61553398</v>
      </c>
      <c r="N14" s="26"/>
      <c r="O14" s="93" t="s">
        <v>125</v>
      </c>
      <c r="P14" s="70"/>
      <c r="Q14" s="70"/>
      <c r="R14" s="71" t="n">
        <f aca="false">SUM(R9:R12)</f>
        <v>1049653.81941748</v>
      </c>
      <c r="V14" s="64" t="n">
        <f aca="false">+F14/$F$29*$V$29</f>
        <v>66000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'[14]Team Report'!BA33</f>
        <v>69921.63</v>
      </c>
      <c r="E15" s="64" t="n">
        <f aca="false">(C15/9)*12</f>
        <v>93228.84</v>
      </c>
      <c r="F15" s="64" t="n">
        <f aca="false">((E15/$E$29*7)+2000)*1.2</f>
        <v>10003.1286990291</v>
      </c>
      <c r="J15" s="26"/>
      <c r="N15" s="26"/>
      <c r="V15" s="64" t="n">
        <f aca="false">+F15/$F$29*$V$29</f>
        <v>1667.18811650485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'[14]Team Report'!BA34</f>
        <v>0</v>
      </c>
      <c r="E16" s="64" t="n">
        <f aca="false">(C16/9)*12</f>
        <v>0</v>
      </c>
      <c r="F16" s="64" t="n">
        <f aca="false">(E16/$E$29*7)*1.2</f>
        <v>0</v>
      </c>
      <c r="I16" s="66"/>
      <c r="J16" s="26"/>
      <c r="M16" s="49" t="n">
        <f aca="false">N16-F23</f>
        <v>6132681.9432233</v>
      </c>
      <c r="N16" s="111" t="n">
        <f aca="false">M14+R14</f>
        <v>7725577.43495146</v>
      </c>
      <c r="V16" s="64" t="n">
        <f aca="false">+F16/$F$29*$V$29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'[14]Team Report'!BA35</f>
        <v>0</v>
      </c>
      <c r="E17" s="64" t="n">
        <f aca="false">(C17/9)*12</f>
        <v>0</v>
      </c>
      <c r="F17" s="64" t="n">
        <f aca="false">(E17/$E$29*7)*1.2</f>
        <v>0</v>
      </c>
      <c r="J17" s="26" t="s">
        <v>197</v>
      </c>
      <c r="K17" s="49" t="n">
        <f aca="false">(30000*1.2)</f>
        <v>36000</v>
      </c>
      <c r="L17" s="0" t="n">
        <v>0</v>
      </c>
      <c r="M17" s="49" t="n">
        <f aca="false">K17*L17</f>
        <v>0</v>
      </c>
      <c r="O17" s="26" t="s">
        <v>197</v>
      </c>
      <c r="P17" s="49" t="n">
        <f aca="false">(30000*1.2)</f>
        <v>36000</v>
      </c>
      <c r="Q17" s="26" t="n">
        <v>0</v>
      </c>
      <c r="R17" s="66" t="n">
        <f aca="false">P17*Q17</f>
        <v>0</v>
      </c>
      <c r="V17" s="64" t="n">
        <f aca="false">+F17/$F$29*$V$29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'[14]Team Report'!BA36</f>
        <v>19039.67</v>
      </c>
      <c r="E18" s="64" t="n">
        <f aca="false">(C18/9)*12</f>
        <v>25386.2266666667</v>
      </c>
      <c r="F18" s="64" t="n">
        <f aca="false">((E18/$E$29*7)+2000)*1.2</f>
        <v>4470.33304854369</v>
      </c>
      <c r="J18" s="0" t="s">
        <v>256</v>
      </c>
      <c r="K18" s="49" t="n">
        <f aca="false">(40000*1.2)*1.2</f>
        <v>57600</v>
      </c>
      <c r="L18" s="0" t="n">
        <v>3</v>
      </c>
      <c r="M18" s="49" t="n">
        <f aca="false">K18*L18</f>
        <v>172800</v>
      </c>
      <c r="O18" s="0" t="s">
        <v>256</v>
      </c>
      <c r="P18" s="49" t="n">
        <f aca="false">(40000*1.2)*1.2</f>
        <v>57600</v>
      </c>
      <c r="Q18" s="0" t="n">
        <v>2</v>
      </c>
      <c r="R18" s="66" t="n">
        <f aca="false">P18*Q18</f>
        <v>115200</v>
      </c>
      <c r="V18" s="64" t="n">
        <f aca="false">+F18/$F$29*$V$29</f>
        <v>745.055508090615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'[14]Team Report'!BA37</f>
        <v>17422.02</v>
      </c>
      <c r="E19" s="64" t="n">
        <f aca="false">(C19/9)*12</f>
        <v>23229.36</v>
      </c>
      <c r="F19" s="64" t="n">
        <f aca="false">((E19/$E$29*7)+7000)*1.2</f>
        <v>10294.4332427184</v>
      </c>
      <c r="J19" s="0" t="s">
        <v>138</v>
      </c>
      <c r="K19" s="49" t="n">
        <v>49200</v>
      </c>
      <c r="L19" s="0" t="n">
        <v>1</v>
      </c>
      <c r="M19" s="49" t="n">
        <f aca="false">K19*L19</f>
        <v>49200</v>
      </c>
      <c r="O19" s="0" t="s">
        <v>138</v>
      </c>
      <c r="P19" s="49" t="n">
        <v>49200</v>
      </c>
      <c r="Q19" s="0" t="n">
        <v>1</v>
      </c>
      <c r="R19" s="66" t="n">
        <f aca="false">P19*Q19</f>
        <v>49200</v>
      </c>
      <c r="V19" s="64" t="n">
        <f aca="false">+F19/$F$29*$V$29</f>
        <v>1715.73887378641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'[14]Team Report'!BA38</f>
        <v>0</v>
      </c>
      <c r="E20" s="64" t="n">
        <f aca="false">(C20/9)*12</f>
        <v>0</v>
      </c>
      <c r="F20" s="64" t="n">
        <f aca="false">(E20/$E$29*46)*1.2</f>
        <v>0</v>
      </c>
      <c r="J20" s="0" t="s">
        <v>257</v>
      </c>
      <c r="K20" s="49" t="n">
        <v>57600</v>
      </c>
      <c r="L20" s="0" t="n">
        <v>3</v>
      </c>
      <c r="M20" s="49" t="n">
        <f aca="false">K20*L20</f>
        <v>172800</v>
      </c>
      <c r="O20" s="0" t="s">
        <v>257</v>
      </c>
      <c r="P20" s="49" t="n">
        <v>57600</v>
      </c>
      <c r="Q20" s="0" t="n">
        <v>0</v>
      </c>
      <c r="R20" s="66" t="n">
        <f aca="false">P20*Q20</f>
        <v>0</v>
      </c>
      <c r="V20" s="64" t="n">
        <f aca="false">+F20/$F$29*$V$29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'[14]Team Report'!BA42</f>
        <v>75042.68</v>
      </c>
      <c r="E21" s="64" t="n">
        <f aca="false">(C21/9)*12</f>
        <v>100056.906666667</v>
      </c>
      <c r="F21" s="64" t="n">
        <f aca="false">((E21/$E$29*7)+2000+250000)*1.2</f>
        <v>310559.980737864</v>
      </c>
      <c r="J21" s="0" t="s">
        <v>141</v>
      </c>
      <c r="K21" s="49" t="n">
        <v>62400</v>
      </c>
      <c r="L21" s="0" t="n">
        <v>12</v>
      </c>
      <c r="M21" s="49" t="n">
        <f aca="false">K21*L21</f>
        <v>748800</v>
      </c>
      <c r="O21" s="0" t="s">
        <v>141</v>
      </c>
      <c r="P21" s="49" t="n">
        <v>62400</v>
      </c>
      <c r="Q21" s="0" t="n">
        <v>0</v>
      </c>
      <c r="R21" s="66" t="n">
        <f aca="false">P21*Q21</f>
        <v>0</v>
      </c>
      <c r="V21" s="64" t="n">
        <f aca="false">+F21/$F$29*$V$29</f>
        <v>51759.996789644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'[14]Team Report'!BA44</f>
        <v>1226.24</v>
      </c>
      <c r="E22" s="64" t="n">
        <f aca="false">(C22/9)*12</f>
        <v>1634.98666666667</v>
      </c>
      <c r="F22" s="64" t="n">
        <f aca="false">(E22/$E$29*7)*1.2</f>
        <v>133.338718446602</v>
      </c>
      <c r="J22" s="0" t="s">
        <v>258</v>
      </c>
      <c r="K22" s="49" t="n">
        <v>74400</v>
      </c>
      <c r="L22" s="0" t="n">
        <v>8</v>
      </c>
      <c r="M22" s="49" t="n">
        <f aca="false">K22*L22</f>
        <v>595200</v>
      </c>
      <c r="O22" s="0" t="s">
        <v>258</v>
      </c>
      <c r="P22" s="49" t="n">
        <v>74400</v>
      </c>
      <c r="Q22" s="0" t="n">
        <v>0</v>
      </c>
      <c r="R22" s="66" t="n">
        <f aca="false">P22*Q22</f>
        <v>0</v>
      </c>
      <c r="V22" s="64" t="n">
        <f aca="false">+F22/$F$29*$V$29</f>
        <v>22.2231197411003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6646856.13</v>
      </c>
      <c r="E23" s="77" t="n">
        <f aca="false">SUM(E8:E22)</f>
        <v>9957590.38666667</v>
      </c>
      <c r="F23" s="77" t="n">
        <f aca="false">SUM(F8:F22)</f>
        <v>1592895.49172816</v>
      </c>
      <c r="J23" s="0" t="s">
        <v>259</v>
      </c>
      <c r="K23" s="49" t="n">
        <v>90000</v>
      </c>
      <c r="L23" s="0" t="n">
        <v>10</v>
      </c>
      <c r="M23" s="49" t="n">
        <f aca="false">K23*L23</f>
        <v>900000</v>
      </c>
      <c r="O23" s="0" t="s">
        <v>259</v>
      </c>
      <c r="P23" s="49" t="n">
        <v>90000</v>
      </c>
      <c r="Q23" s="0" t="n">
        <v>1</v>
      </c>
      <c r="R23" s="66" t="n">
        <f aca="false">P23*Q23</f>
        <v>90000</v>
      </c>
      <c r="V23" s="96" t="n">
        <f aca="false">SUM(V8:V22)</f>
        <v>265482.581954693</v>
      </c>
    </row>
    <row r="24" customFormat="false" ht="12.75" hidden="false" customHeight="false" outlineLevel="0" collapsed="false">
      <c r="J24" s="0" t="s">
        <v>260</v>
      </c>
      <c r="K24" s="49" t="n">
        <v>120000</v>
      </c>
      <c r="L24" s="0" t="n">
        <v>4</v>
      </c>
      <c r="M24" s="49" t="n">
        <f aca="false">K24*L24</f>
        <v>480000</v>
      </c>
      <c r="O24" s="0" t="s">
        <v>260</v>
      </c>
      <c r="P24" s="49" t="n">
        <v>120000</v>
      </c>
      <c r="Q24" s="0" t="n">
        <v>1</v>
      </c>
      <c r="R24" s="66" t="n">
        <f aca="false">P24*Q24</f>
        <v>120000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99</v>
      </c>
      <c r="F25" s="107" t="n">
        <f aca="false">+Q28</f>
        <v>6</v>
      </c>
      <c r="J25" s="0" t="s">
        <v>261</v>
      </c>
      <c r="K25" s="49" t="n">
        <v>174000</v>
      </c>
      <c r="L25" s="0" t="n">
        <v>1</v>
      </c>
      <c r="M25" s="49" t="n">
        <f aca="false">K25*L25</f>
        <v>174000</v>
      </c>
      <c r="O25" s="0" t="s">
        <v>261</v>
      </c>
      <c r="P25" s="49" t="n">
        <v>174000</v>
      </c>
      <c r="Q25" s="0" t="n">
        <v>1</v>
      </c>
      <c r="R25" s="66" t="n">
        <f aca="false">P25*Q25</f>
        <v>174000</v>
      </c>
      <c r="V25" s="77" t="n">
        <f aca="false">SUM(AB16:AB20,AB23:AB27)</f>
        <v>0</v>
      </c>
    </row>
    <row r="26" customFormat="false" ht="12.75" hidden="false" customHeight="false" outlineLevel="0" collapsed="false">
      <c r="J26" s="0" t="s">
        <v>262</v>
      </c>
      <c r="K26" s="49" t="n">
        <v>216000</v>
      </c>
      <c r="L26" s="0" t="n">
        <v>3</v>
      </c>
      <c r="M26" s="49" t="n">
        <f aca="false">K26*L26</f>
        <v>648000</v>
      </c>
      <c r="O26" s="0" t="s">
        <v>262</v>
      </c>
      <c r="P26" s="49" t="n">
        <v>216000</v>
      </c>
      <c r="Q26" s="0" t="n">
        <v>0</v>
      </c>
      <c r="R26" s="66" t="n">
        <f aca="false">P26*Q26</f>
        <v>0</v>
      </c>
      <c r="V26" s="64"/>
    </row>
    <row r="27" customFormat="false" ht="12.75" hidden="false" customHeight="false" outlineLevel="0" collapsed="false">
      <c r="B27" s="73" t="s">
        <v>157</v>
      </c>
      <c r="C27" s="107"/>
      <c r="E27" s="107" t="n">
        <v>4</v>
      </c>
      <c r="F27" s="107" t="n">
        <v>0</v>
      </c>
      <c r="J27" s="0" t="s">
        <v>263</v>
      </c>
      <c r="K27" s="49" t="n">
        <v>312000</v>
      </c>
      <c r="L27" s="0" t="n">
        <v>1</v>
      </c>
      <c r="M27" s="49" t="n">
        <f aca="false">K27*L27</f>
        <v>312000</v>
      </c>
      <c r="O27" s="0" t="s">
        <v>263</v>
      </c>
      <c r="P27" s="49" t="n">
        <v>312000</v>
      </c>
      <c r="Q27" s="0" t="n">
        <v>0</v>
      </c>
      <c r="R27" s="66" t="n">
        <f aca="false">P27*Q27</f>
        <v>0</v>
      </c>
      <c r="V27" s="77" t="n">
        <f aca="false">SUM(AB21:AB22)</f>
        <v>0</v>
      </c>
    </row>
    <row r="28" customFormat="false" ht="12.75" hidden="false" customHeight="false" outlineLevel="0" collapsed="false">
      <c r="L28" s="49" t="n">
        <f aca="false">SUM(L17:L27)</f>
        <v>46</v>
      </c>
      <c r="M28" s="49" t="n">
        <f aca="false">SUM(M17:M27)</f>
        <v>4252800</v>
      </c>
      <c r="P28" s="49"/>
      <c r="Q28" s="0" t="n">
        <f aca="false">SUM(Q17:Q27)</f>
        <v>6</v>
      </c>
      <c r="R28" s="66" t="n">
        <f aca="false">SUM(R17:R27)</f>
        <v>548400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103</v>
      </c>
      <c r="F29" s="107" t="n">
        <f aca="false">SUM(F25:F27)</f>
        <v>6</v>
      </c>
      <c r="P29" s="49"/>
      <c r="Q29" s="49"/>
      <c r="V29" s="77" t="n">
        <v>1</v>
      </c>
    </row>
    <row r="30" customFormat="false" ht="12.75" hidden="false" customHeight="false" outlineLevel="0" collapsed="false">
      <c r="B30" s="73"/>
      <c r="J30" s="0" t="s">
        <v>247</v>
      </c>
      <c r="L30" s="78"/>
      <c r="M30" s="78" t="n">
        <v>0.2</v>
      </c>
      <c r="O30" s="0" t="s">
        <v>247</v>
      </c>
      <c r="P30" s="49"/>
      <c r="Q30" s="78"/>
      <c r="R30" s="78" t="n">
        <v>0.2</v>
      </c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'[14]Team Report'!BA29</f>
        <v>0</v>
      </c>
      <c r="E31" s="64" t="n">
        <f aca="false">(C31/9)*12</f>
        <v>0</v>
      </c>
      <c r="F31" s="64"/>
      <c r="P31" s="49"/>
      <c r="Q31" s="49"/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'[14]Team Report'!BA30</f>
        <v>0</v>
      </c>
      <c r="E32" s="64" t="n">
        <f aca="false">(C32/9)*12</f>
        <v>0</v>
      </c>
      <c r="F32" s="64"/>
      <c r="M32" s="49" t="n">
        <f aca="false">M28*1.2</f>
        <v>5103360</v>
      </c>
      <c r="P32" s="49"/>
      <c r="Q32" s="49"/>
      <c r="R32" s="49" t="n">
        <f aca="false">R28*1.2</f>
        <v>658080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'[14]Team Report'!BA31</f>
        <v>0</v>
      </c>
      <c r="E33" s="64" t="n">
        <f aca="false">(C33/9)*12</f>
        <v>0</v>
      </c>
      <c r="F33" s="64"/>
      <c r="P33" s="49"/>
      <c r="Q33" s="49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'[14]Team Report'!BA39</f>
        <v>0</v>
      </c>
      <c r="E34" s="64" t="n">
        <f aca="false">(C34/9)*12</f>
        <v>0</v>
      </c>
      <c r="F34" s="64"/>
      <c r="J34" s="16" t="s">
        <v>160</v>
      </c>
      <c r="N34" s="49"/>
    </row>
    <row r="35" customFormat="false" ht="13.5" hidden="true" customHeight="false" outlineLevel="0" collapsed="false">
      <c r="A35" s="62" t="s">
        <v>218</v>
      </c>
      <c r="B35" s="63" t="s">
        <v>231</v>
      </c>
      <c r="C35" s="64" t="n">
        <f aca="false">'[14]Team Report'!BA40</f>
        <v>24670.39</v>
      </c>
      <c r="E35" s="64" t="n">
        <f aca="false">(C35/9)*12</f>
        <v>32893.8533333333</v>
      </c>
      <c r="F35" s="64"/>
      <c r="J35" s="103" t="s">
        <v>292</v>
      </c>
      <c r="K35" s="103"/>
      <c r="L35" s="103"/>
      <c r="M35" s="103"/>
      <c r="N35" s="49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'[14]Team Report'!BA41</f>
        <v>481045.43</v>
      </c>
      <c r="E36" s="64" t="n">
        <f aca="false">(C36/9)*12</f>
        <v>641393.906666667</v>
      </c>
      <c r="F36" s="64"/>
      <c r="J36" s="79" t="s">
        <v>161</v>
      </c>
      <c r="L36" s="80" t="s">
        <v>162</v>
      </c>
      <c r="M36" s="80" t="s">
        <v>163</v>
      </c>
      <c r="N36" s="80" t="s">
        <v>106</v>
      </c>
      <c r="O36" s="80" t="s">
        <v>164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'[14]Team Report'!BA43</f>
        <v>-771915.88</v>
      </c>
      <c r="E37" s="64" t="n">
        <f aca="false">(C37/9)*12</f>
        <v>-1029221.17333333</v>
      </c>
      <c r="F37" s="64"/>
      <c r="J37" s="81" t="n">
        <f aca="false">SUM(E12:E21)</f>
        <v>599795.4</v>
      </c>
      <c r="L37" s="109" t="n">
        <f aca="false">E29</f>
        <v>103</v>
      </c>
      <c r="M37" s="80" t="n">
        <f aca="false">+J37/L37</f>
        <v>5823.25631067961</v>
      </c>
      <c r="N37" s="109" t="n">
        <v>46</v>
      </c>
      <c r="O37" s="80" t="n">
        <f aca="false">+M37*N37+500000+571398</f>
        <v>1339267.79029126</v>
      </c>
      <c r="P37" s="0" t="s">
        <v>293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'[14]Team Report'!BA45</f>
        <v>0</v>
      </c>
      <c r="E38" s="64" t="n">
        <f aca="false">(C38/9)*12</f>
        <v>0</v>
      </c>
      <c r="F38" s="64"/>
      <c r="P38" s="0" t="s">
        <v>294</v>
      </c>
    </row>
    <row r="39" customFormat="false" ht="12.75" hidden="false" customHeight="false" outlineLevel="0" collapsed="false">
      <c r="A39" s="62"/>
      <c r="B39" s="63"/>
      <c r="C39" s="64"/>
      <c r="E39" s="64"/>
      <c r="F39" s="64"/>
      <c r="P39" s="0" t="s">
        <v>295</v>
      </c>
    </row>
    <row r="40" customFormat="false" ht="12.75" hidden="false" customHeight="false" outlineLevel="0" collapsed="false">
      <c r="A40" s="62"/>
      <c r="B40" s="63"/>
      <c r="C40" s="64"/>
      <c r="E40" s="64"/>
      <c r="F40" s="64"/>
      <c r="P40" s="0" t="s">
        <v>296</v>
      </c>
    </row>
    <row r="41" customFormat="false" ht="13.5" hidden="false" customHeight="false" outlineLevel="0" collapsed="false">
      <c r="A41" s="62"/>
      <c r="B41" s="63"/>
      <c r="C41" s="64"/>
      <c r="E41" s="64"/>
      <c r="F41" s="64"/>
      <c r="J41" s="103" t="s">
        <v>69</v>
      </c>
      <c r="K41" s="103"/>
      <c r="L41" s="103"/>
      <c r="M41" s="103"/>
      <c r="N41" s="49"/>
      <c r="P41" s="0" t="s">
        <v>297</v>
      </c>
    </row>
    <row r="42" customFormat="false" ht="12.75" hidden="false" customHeight="false" outlineLevel="0" collapsed="false">
      <c r="J42" s="79" t="s">
        <v>161</v>
      </c>
      <c r="L42" s="80" t="s">
        <v>162</v>
      </c>
      <c r="M42" s="80" t="s">
        <v>163</v>
      </c>
      <c r="N42" s="80" t="s">
        <v>106</v>
      </c>
      <c r="O42" s="80" t="s">
        <v>164</v>
      </c>
    </row>
    <row r="43" customFormat="false" ht="12.75" hidden="false" customHeight="false" outlineLevel="0" collapsed="false">
      <c r="J43" s="81" t="n">
        <f aca="false">SUM(E12:E21)</f>
        <v>599795.4</v>
      </c>
      <c r="L43" s="109" t="n">
        <v>103</v>
      </c>
      <c r="M43" s="80" t="n">
        <f aca="false">+J43/L43</f>
        <v>5823.25631067961</v>
      </c>
      <c r="N43" s="109" t="n">
        <v>7</v>
      </c>
      <c r="O43" s="80" t="n">
        <f aca="false">+M43*N43+300000</f>
        <v>340762.794174757</v>
      </c>
      <c r="P43" s="0" t="s">
        <v>298</v>
      </c>
    </row>
    <row r="44" customFormat="false" ht="12.75" hidden="false" customHeight="false" outlineLevel="0" collapsed="false">
      <c r="P44" s="0" t="s">
        <v>299</v>
      </c>
    </row>
    <row r="46" customFormat="false" ht="12.75" hidden="false" customHeight="false" outlineLevel="0" collapsed="false">
      <c r="C46" s="102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4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53" min="17" style="0" width="9.14"/>
  </cols>
  <sheetData>
    <row r="1" customFormat="false" ht="18" hidden="false" customHeight="false" outlineLevel="0" collapsed="false">
      <c r="B1" s="50" t="str">
        <f aca="false">'[20]Team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2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tr">
        <f aca="false">'[20]Pull Sheet'!E9</f>
        <v>Tax</v>
      </c>
      <c r="C2" s="50"/>
      <c r="D2" s="50"/>
      <c r="E2" s="50"/>
      <c r="F2" s="50"/>
      <c r="G2" s="52"/>
      <c r="H2" s="52"/>
      <c r="I2" s="52"/>
      <c r="J2" s="52"/>
      <c r="K2" s="52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4"/>
      <c r="K3" s="54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112"/>
      <c r="K4" s="113"/>
      <c r="L4" s="114"/>
      <c r="M4" s="113"/>
      <c r="N4" s="113"/>
      <c r="O4" s="113"/>
      <c r="P4" s="115"/>
    </row>
    <row r="5" customFormat="false" ht="12.75" hidden="false" customHeight="false" outlineLevel="0" collapsed="false">
      <c r="J5" s="116"/>
      <c r="K5" s="26"/>
      <c r="M5" s="26"/>
      <c r="N5" s="26"/>
      <c r="O5" s="26"/>
      <c r="P5" s="37"/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J6" s="116"/>
      <c r="K6" s="26"/>
      <c r="L6" s="49" t="s">
        <v>105</v>
      </c>
      <c r="M6" s="26"/>
      <c r="N6" s="26" t="s">
        <v>106</v>
      </c>
      <c r="O6" s="26"/>
      <c r="P6" s="37" t="s">
        <v>300</v>
      </c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16"/>
      <c r="J7" s="117"/>
      <c r="K7" s="49"/>
      <c r="M7" s="49"/>
      <c r="N7" s="49"/>
      <c r="O7" s="49"/>
      <c r="P7" s="118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'[20]Team Report'!BA25</f>
        <v>1971599.02</v>
      </c>
      <c r="E8" s="64" t="n">
        <f aca="false">((C8/9)*12)*1.2</f>
        <v>3154558.432</v>
      </c>
      <c r="F8" s="64" t="n">
        <f aca="false">(L23+L24+45000)*1.2</f>
        <v>882000</v>
      </c>
      <c r="J8" s="116" t="s">
        <v>116</v>
      </c>
      <c r="K8" s="49"/>
      <c r="L8" s="49" t="n">
        <v>0</v>
      </c>
      <c r="M8" s="49"/>
      <c r="N8" s="49" t="n">
        <v>4</v>
      </c>
      <c r="O8" s="49"/>
      <c r="P8" s="118" t="n">
        <f aca="false">L31</f>
        <v>828000</v>
      </c>
      <c r="Q8" s="64" t="n">
        <f aca="false">+F8/$F$29*$Q$29</f>
        <v>176400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((C9/9)*12)*1.2</f>
        <v>0</v>
      </c>
      <c r="F9" s="64" t="n">
        <v>0</v>
      </c>
      <c r="J9" s="116"/>
      <c r="K9" s="49"/>
      <c r="M9" s="49"/>
      <c r="N9" s="49"/>
      <c r="O9" s="49"/>
      <c r="P9" s="118"/>
      <c r="Q9" s="64" t="n">
        <f aca="false">+F9/$F$29*$Q$29</f>
        <v>0</v>
      </c>
    </row>
    <row r="10" customFormat="false" ht="12.75" hidden="true" customHeight="false" outlineLevel="0" collapsed="false">
      <c r="B10" s="63" t="s">
        <v>196</v>
      </c>
      <c r="C10" s="64" t="n">
        <v>0</v>
      </c>
      <c r="E10" s="64" t="n">
        <f aca="false">((C10/9)*12)*1.2</f>
        <v>0</v>
      </c>
      <c r="F10" s="64" t="n">
        <v>0</v>
      </c>
      <c r="J10" s="116" t="s">
        <v>78</v>
      </c>
      <c r="K10" s="49"/>
      <c r="L10" s="49" t="n">
        <f aca="false">+(E12+E13+E14+E15+E16+E17+E18+E19+E20+E21+E22)/E29</f>
        <v>16010.891654321</v>
      </c>
      <c r="M10" s="49"/>
      <c r="N10" s="49" t="n">
        <v>4</v>
      </c>
      <c r="O10" s="49"/>
      <c r="P10" s="118" t="n">
        <f aca="false">L10*N10+67934+22</f>
        <v>131999.566617284</v>
      </c>
      <c r="Q10" s="64" t="n">
        <f aca="false">+F10/$F$29*$Q$29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'[20]Team Report'!BA26</f>
        <v>441478.67</v>
      </c>
      <c r="E11" s="64" t="n">
        <f aca="false">((C11/9)*12)*1.2</f>
        <v>706365.872</v>
      </c>
      <c r="F11" s="64" t="n">
        <f aca="false">(F8*0.2)*1.2</f>
        <v>211680</v>
      </c>
      <c r="J11" s="116"/>
      <c r="K11" s="49"/>
      <c r="M11" s="49"/>
      <c r="N11" s="49"/>
      <c r="O11" s="49"/>
      <c r="P11" s="118"/>
      <c r="Q11" s="64" t="n">
        <f aca="false">+F11/$F$29*$Q$29</f>
        <v>42336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'[20]Team Report'!BA27</f>
        <v>93416.53</v>
      </c>
      <c r="E12" s="64" t="n">
        <f aca="false">((C12/9)*12)*1.6</f>
        <v>199288.597333333</v>
      </c>
      <c r="F12" s="64" t="n">
        <f aca="false">((E12/$E$25*$N$8)+20000)*1.2</f>
        <v>59429.0839703704</v>
      </c>
      <c r="J12" s="116"/>
      <c r="K12" s="49"/>
      <c r="M12" s="49"/>
      <c r="N12" s="49"/>
      <c r="O12" s="49"/>
      <c r="P12" s="118" t="n">
        <f aca="false">SUM(P8:P10)</f>
        <v>959999.566617284</v>
      </c>
      <c r="Q12" s="64" t="n">
        <f aca="false">+F12/$F$29*$Q$29</f>
        <v>11885.8167940741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'[20]Team Report'!BA28</f>
        <v>59005.25</v>
      </c>
      <c r="E13" s="64" t="n">
        <f aca="false">((C13/9)*12)*1.4</f>
        <v>110143.133333333</v>
      </c>
      <c r="F13" s="64" t="n">
        <f aca="false">((E13/$E$25*$N$8)+10000)*1.2</f>
        <v>31581.0014814815</v>
      </c>
      <c r="J13" s="119"/>
      <c r="K13" s="120"/>
      <c r="L13" s="120"/>
      <c r="M13" s="120"/>
      <c r="N13" s="120"/>
      <c r="O13" s="120"/>
      <c r="P13" s="121"/>
      <c r="Q13" s="64" t="n">
        <f aca="false">+F13/$F$29*$Q$29</f>
        <v>6316.2002962963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'[20]Team Report'!BA32-C39</f>
        <v>0.470000000030268</v>
      </c>
      <c r="E14" s="64" t="n">
        <f aca="false">((C14/9)*12)*1.2</f>
        <v>0.752000000048429</v>
      </c>
      <c r="F14" s="64" t="n">
        <f aca="false">(E14/$E$25*$N$8)*1.2</f>
        <v>0.133688888897498</v>
      </c>
      <c r="I14" s="66" t="n">
        <f aca="false">P12-F23</f>
        <v>-292079.913323457</v>
      </c>
      <c r="Q14" s="64" t="n">
        <f aca="false">+F14/$F$29*$Q$29</f>
        <v>0.0267377777794997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'[20]Team Report'!BA33</f>
        <v>23102.66</v>
      </c>
      <c r="E15" s="64" t="n">
        <f aca="false">((C15/9)*12)*1.6</f>
        <v>49285.6746666667</v>
      </c>
      <c r="F15" s="64" t="n">
        <f aca="false">((E15/$E$25*$N$8)+12000)*1.2</f>
        <v>23161.8977185185</v>
      </c>
      <c r="Q15" s="64" t="n">
        <f aca="false">+F15/$F$29*$Q$29</f>
        <v>4632.3795437037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'[20]Team Report'!BA34</f>
        <v>0</v>
      </c>
      <c r="E16" s="64" t="n">
        <f aca="false">((C16/9)*12)*1.2</f>
        <v>0</v>
      </c>
      <c r="F16" s="64" t="n">
        <f aca="false">(E16/$E$25*$N$8)*1.2</f>
        <v>0</v>
      </c>
      <c r="J16" s="26" t="s">
        <v>197</v>
      </c>
      <c r="K16" s="49" t="n">
        <v>30000</v>
      </c>
      <c r="L16" s="49" t="n">
        <f aca="false">I16*K16</f>
        <v>0</v>
      </c>
      <c r="Q16" s="64" t="n">
        <f aca="false">+F16/$F$29*$Q$29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'[20]Team Report'!BA35</f>
        <v>0</v>
      </c>
      <c r="E17" s="64" t="n">
        <f aca="false">((C17/9)*12)*1.2</f>
        <v>0</v>
      </c>
      <c r="F17" s="64" t="n">
        <f aca="false">(E17/$E$25*$N$8)*1.2</f>
        <v>0</v>
      </c>
      <c r="J17" s="0" t="s">
        <v>256</v>
      </c>
      <c r="K17" s="49" t="n">
        <v>40000</v>
      </c>
      <c r="L17" s="49" t="n">
        <f aca="false">I17*K17</f>
        <v>0</v>
      </c>
      <c r="Q17" s="64" t="n">
        <f aca="false">+F17/$F$29*$Q$29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'[20]Team Report'!BA36</f>
        <v>0</v>
      </c>
      <c r="E18" s="64" t="n">
        <f aca="false">((C18/9)*12)*1.2</f>
        <v>0</v>
      </c>
      <c r="F18" s="64" t="n">
        <f aca="false">(E18/$E$25*$N$8)*1.2</f>
        <v>0</v>
      </c>
      <c r="J18" s="0" t="s">
        <v>138</v>
      </c>
      <c r="K18" s="49" t="n">
        <v>41000</v>
      </c>
      <c r="L18" s="49" t="n">
        <f aca="false">I18*K18</f>
        <v>0</v>
      </c>
      <c r="Q18" s="64" t="n">
        <f aca="false">+F18/$F$29*$Q$29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'[20]Team Report'!BA37</f>
        <v>13879.95</v>
      </c>
      <c r="E19" s="64" t="n">
        <f aca="false">((C19/9)*12)*1.6</f>
        <v>29610.56</v>
      </c>
      <c r="F19" s="64" t="n">
        <f aca="false">((E19/$E$25*$N$8)+15000)*1.2</f>
        <v>23264.0995555556</v>
      </c>
      <c r="J19" s="0" t="s">
        <v>257</v>
      </c>
      <c r="K19" s="49" t="n">
        <v>48000</v>
      </c>
      <c r="L19" s="49" t="n">
        <f aca="false">I19*K19</f>
        <v>0</v>
      </c>
      <c r="Q19" s="64" t="n">
        <f aca="false">+F19/$F$29*$Q$29</f>
        <v>4652.81991111111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'[20]Team Report'!BA38</f>
        <v>0</v>
      </c>
      <c r="E20" s="64" t="n">
        <f aca="false">((C20/9)*12)*1.2</f>
        <v>0</v>
      </c>
      <c r="F20" s="64" t="n">
        <f aca="false">(E20/$E$25*$N$8)*1.2</f>
        <v>0</v>
      </c>
      <c r="J20" s="0" t="s">
        <v>141</v>
      </c>
      <c r="K20" s="49" t="n">
        <v>52000</v>
      </c>
      <c r="L20" s="49" t="n">
        <f aca="false">I20*K20</f>
        <v>0</v>
      </c>
      <c r="Q20" s="64" t="n">
        <f aca="false">+F20/$F$29*$Q$29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'[20]Team Report'!BA42</f>
        <v>23120.5</v>
      </c>
      <c r="E21" s="64" t="n">
        <f aca="false">((C21/9)*12)*1.4</f>
        <v>43158.2666666667</v>
      </c>
      <c r="F21" s="64" t="n">
        <f aca="false">((E21/$E$25*$N$8)+10956)*1.2</f>
        <v>20819.7807407407</v>
      </c>
      <c r="J21" s="0" t="s">
        <v>289</v>
      </c>
      <c r="K21" s="49" t="n">
        <v>62000</v>
      </c>
      <c r="L21" s="49" t="n">
        <f aca="false">I21*K21</f>
        <v>0</v>
      </c>
      <c r="Q21" s="64" t="n">
        <f aca="false">+F21/$F$29*$Q$29</f>
        <v>4163.95614814815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'[20]Team Report'!BA44</f>
        <v>432.37</v>
      </c>
      <c r="E22" s="64" t="n">
        <f aca="false">((C22/9)*12)*1.4</f>
        <v>807.090666666667</v>
      </c>
      <c r="F22" s="64" t="n">
        <f aca="false">(E22/$E$25*$N$8)*1.2</f>
        <v>143.482785185185</v>
      </c>
      <c r="J22" s="0" t="s">
        <v>259</v>
      </c>
      <c r="K22" s="49" t="n">
        <v>75000</v>
      </c>
      <c r="L22" s="49" t="n">
        <f aca="false">I22*K22</f>
        <v>0</v>
      </c>
      <c r="Q22" s="64" t="n">
        <f aca="false">+F22/$F$29*$Q$29</f>
        <v>28.696557037037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2626035.42</v>
      </c>
      <c r="E23" s="74" t="n">
        <f aca="false">SUM(E8:E22)</f>
        <v>4293218.37866667</v>
      </c>
      <c r="F23" s="74" t="n">
        <f aca="false">SUM(F8:F22)</f>
        <v>1252079.47994074</v>
      </c>
      <c r="I23" s="0" t="n">
        <v>1</v>
      </c>
      <c r="J23" s="0" t="s">
        <v>260</v>
      </c>
      <c r="K23" s="49" t="n">
        <f aca="false">125000*1.2</f>
        <v>150000</v>
      </c>
      <c r="L23" s="49" t="n">
        <f aca="false">I23*K23</f>
        <v>150000</v>
      </c>
      <c r="Q23" s="74" t="n">
        <f aca="false">SUM(Q8:Q22)</f>
        <v>250415.895988148</v>
      </c>
    </row>
    <row r="24" customFormat="false" ht="12.75" hidden="false" customHeight="false" outlineLevel="0" collapsed="false">
      <c r="I24" s="0" t="n">
        <v>3</v>
      </c>
      <c r="J24" s="0" t="s">
        <v>261</v>
      </c>
      <c r="K24" s="49" t="n">
        <f aca="false">150000*1.2</f>
        <v>180000</v>
      </c>
      <c r="L24" s="49" t="n">
        <f aca="false">I24*K24</f>
        <v>540000</v>
      </c>
    </row>
    <row r="25" customFormat="false" ht="12.75" hidden="false" customHeight="false" outlineLevel="0" collapsed="false">
      <c r="B25" s="73" t="s">
        <v>7</v>
      </c>
      <c r="C25" s="64"/>
      <c r="E25" s="77" t="n">
        <v>27</v>
      </c>
      <c r="F25" s="77" t="n">
        <v>5</v>
      </c>
      <c r="J25" s="0" t="s">
        <v>262</v>
      </c>
      <c r="K25" s="49" t="n">
        <v>180000</v>
      </c>
      <c r="L25" s="49" t="n">
        <f aca="false">I25*K25</f>
        <v>0</v>
      </c>
      <c r="Q25" s="77" t="n">
        <v>1</v>
      </c>
    </row>
    <row r="26" customFormat="false" ht="12.75" hidden="false" customHeight="false" outlineLevel="0" collapsed="false">
      <c r="C26" s="64"/>
      <c r="E26" s="64"/>
      <c r="F26" s="64"/>
      <c r="J26" s="0" t="s">
        <v>263</v>
      </c>
      <c r="K26" s="49" t="n">
        <v>260000</v>
      </c>
      <c r="L26" s="49" t="n">
        <f aca="false">I26*K26</f>
        <v>0</v>
      </c>
      <c r="Q26" s="64"/>
    </row>
    <row r="27" customFormat="false" ht="12.75" hidden="false" customHeight="false" outlineLevel="0" collapsed="false">
      <c r="B27" s="73" t="s">
        <v>251</v>
      </c>
      <c r="C27" s="64"/>
      <c r="E27" s="77" t="n">
        <v>0</v>
      </c>
      <c r="F27" s="77"/>
      <c r="K27" s="49"/>
      <c r="L27" s="49" t="n">
        <f aca="false">SUM(L16:L26)</f>
        <v>690000</v>
      </c>
      <c r="Q27" s="77"/>
    </row>
    <row r="28" customFormat="false" ht="12.75" hidden="false" customHeight="false" outlineLevel="0" collapsed="false">
      <c r="K28" s="49"/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27</v>
      </c>
      <c r="F29" s="77" t="n">
        <f aca="false">SUM(F25:F27)</f>
        <v>5</v>
      </c>
      <c r="G29" s="64"/>
      <c r="H29" s="49"/>
      <c r="J29" s="0" t="s">
        <v>247</v>
      </c>
      <c r="K29" s="49"/>
      <c r="L29" s="78" t="n">
        <v>0.2</v>
      </c>
      <c r="Q29" s="77" t="n">
        <f aca="false">SUM(Q25:Q27)</f>
        <v>1</v>
      </c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'[20]Team Report'!BA29</f>
        <v>0</v>
      </c>
      <c r="E31" s="64" t="n">
        <f aca="false">(C31/9)*12</f>
        <v>0</v>
      </c>
      <c r="F31" s="64"/>
      <c r="L31" s="49" t="n">
        <f aca="false">L27*1.2</f>
        <v>828000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'[20]Team Report'!BA30</f>
        <v>-3920.75</v>
      </c>
      <c r="E32" s="64" t="n">
        <f aca="false">(C32/9)*12</f>
        <v>-5227.66666666667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'[20]Team Report'!BA31</f>
        <v>0</v>
      </c>
      <c r="E33" s="64" t="n">
        <f aca="false">(C33/9)*12</f>
        <v>0</v>
      </c>
      <c r="F33" s="64"/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'[20]Team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'[20]Team Report'!BA40</f>
        <v>37953.1</v>
      </c>
      <c r="E35" s="64" t="n">
        <f aca="false">(C35/9)*12</f>
        <v>50604.1333333333</v>
      </c>
      <c r="F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'[20]Team Report'!BA41</f>
        <v>218397.73</v>
      </c>
      <c r="E36" s="64" t="n">
        <f aca="false">(C36/9)*12</f>
        <v>291196.973333333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'[20]Team Report'!BA43</f>
        <v>-1506130.81</v>
      </c>
      <c r="E37" s="64" t="n">
        <f aca="false">(C37/9)*12</f>
        <v>-2008174.41333333</v>
      </c>
      <c r="F37" s="64"/>
      <c r="I37" s="16" t="s">
        <v>160</v>
      </c>
      <c r="J37" s="49"/>
      <c r="K37" s="49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'[20]Team Report'!BA45</f>
        <v>0</v>
      </c>
      <c r="E38" s="64" t="n">
        <f aca="false">(C38/9)*12</f>
        <v>0</v>
      </c>
      <c r="F38" s="64"/>
      <c r="J38" s="49"/>
      <c r="K38" s="49"/>
    </row>
    <row r="39" customFormat="false" ht="12.75" hidden="true" customHeight="false" outlineLevel="0" collapsed="false">
      <c r="A39" s="62"/>
      <c r="B39" s="63" t="s">
        <v>127</v>
      </c>
      <c r="C39" s="64" t="n">
        <v>195340</v>
      </c>
      <c r="E39" s="64"/>
      <c r="F39" s="64"/>
      <c r="I39" s="79" t="s">
        <v>161</v>
      </c>
      <c r="J39" s="80" t="s">
        <v>162</v>
      </c>
      <c r="K39" s="80" t="s">
        <v>163</v>
      </c>
      <c r="L39" s="80" t="s">
        <v>106</v>
      </c>
      <c r="N39" s="80" t="s">
        <v>164</v>
      </c>
    </row>
    <row r="40" customFormat="false" ht="12.75" hidden="false" customHeight="false" outlineLevel="0" collapsed="false">
      <c r="I40" s="81" t="n">
        <f aca="false">SUM(E12:E22)</f>
        <v>432294.074666667</v>
      </c>
      <c r="J40" s="109" t="n">
        <f aca="false">+E29</f>
        <v>27</v>
      </c>
      <c r="K40" s="80" t="n">
        <f aca="false">+I40/J40</f>
        <v>16010.891654321</v>
      </c>
      <c r="L40" s="80" t="n">
        <f aca="false">+N10</f>
        <v>4</v>
      </c>
      <c r="M40" s="80" t="n">
        <f aca="false">+K40*L40</f>
        <v>64043.566617284</v>
      </c>
      <c r="N40" s="49" t="n">
        <f aca="false">+L40*K40</f>
        <v>64043.566617284</v>
      </c>
    </row>
    <row r="41" customFormat="false" ht="12.75" hidden="false" customHeight="false" outlineLevel="0" collapsed="false">
      <c r="C41" s="102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301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49" width="11.85"/>
    <col collapsed="false" customWidth="true" hidden="true" outlineLevel="0" max="11" min="11" style="49" width="10.85"/>
    <col collapsed="false" customWidth="true" hidden="true" outlineLevel="0" max="12" min="12" style="4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50" t="str">
        <f aca="false">'[21]Team Report'!B1</f>
        <v>Enron North America</v>
      </c>
      <c r="C1" s="50"/>
      <c r="D1" s="50"/>
      <c r="E1" s="50"/>
      <c r="F1" s="50"/>
      <c r="G1" s="50"/>
      <c r="H1" s="52"/>
      <c r="I1" s="52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302</v>
      </c>
      <c r="C2" s="50"/>
      <c r="D2" s="50"/>
      <c r="E2" s="50"/>
      <c r="F2" s="50"/>
      <c r="G2" s="50"/>
      <c r="H2" s="52"/>
      <c r="I2" s="52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3"/>
      <c r="H3" s="54"/>
      <c r="I3" s="54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110</v>
      </c>
      <c r="I6" s="88"/>
      <c r="J6" s="80" t="s">
        <v>105</v>
      </c>
      <c r="K6" s="80" t="s">
        <v>106</v>
      </c>
      <c r="L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114</v>
      </c>
      <c r="I7" s="88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'[21]Team Report'!BA25</f>
        <v>3696902.52</v>
      </c>
      <c r="E8" s="64" t="n">
        <f aca="false">(C8/9)*12</f>
        <v>4929203.36</v>
      </c>
      <c r="G8" s="64" t="n">
        <f aca="false">(L29-G10+212800)*1.2</f>
        <v>1704000</v>
      </c>
      <c r="I8" s="88"/>
      <c r="L8" s="59"/>
      <c r="O8" s="64" t="n">
        <f aca="false">+G8/$G$29*$O$29</f>
        <v>121714.285714286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G9" s="64" t="n">
        <v>0</v>
      </c>
      <c r="I9" s="88" t="s">
        <v>116</v>
      </c>
      <c r="J9" s="49" t="n">
        <v>0</v>
      </c>
      <c r="K9" s="49" t="n">
        <v>19</v>
      </c>
      <c r="L9" s="59" t="n">
        <f aca="false">L33</f>
        <v>1448640</v>
      </c>
      <c r="O9" s="64" t="n">
        <f aca="false">+G9/$G$29*$O$29</f>
        <v>0</v>
      </c>
    </row>
    <row r="10" customFormat="false" ht="12.75" hidden="true" customHeight="false" outlineLevel="0" collapsed="false">
      <c r="A10" s="62"/>
      <c r="B10" s="63" t="s">
        <v>265</v>
      </c>
      <c r="C10" s="64" t="n">
        <v>0</v>
      </c>
      <c r="E10" s="64" t="n">
        <f aca="false">(C10/9)*12</f>
        <v>0</v>
      </c>
      <c r="G10" s="64" t="n">
        <v>0</v>
      </c>
      <c r="I10" s="88"/>
      <c r="L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'[21]Team Report'!BA26</f>
        <v>823813.24</v>
      </c>
      <c r="E11" s="64" t="n">
        <f aca="false">(C11/9)*12</f>
        <v>1098417.65333333</v>
      </c>
      <c r="G11" s="64" t="n">
        <f aca="false">(L33-L29+141960)*1.2</f>
        <v>460080</v>
      </c>
      <c r="I11" s="88"/>
      <c r="L11" s="59"/>
      <c r="O11" s="64" t="n">
        <f aca="false">+G11/$G$29*$O$29</f>
        <v>32862.8571428571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'[21]Team Report'!BA27</f>
        <v>-177210.59</v>
      </c>
      <c r="E12" s="68" t="n">
        <f aca="false">((C12/9)*12+350000)*1.4</f>
        <v>159206.898666667</v>
      </c>
      <c r="G12" s="64" t="n">
        <f aca="false">((E12/$E$29)*$G$29+13466)*1.2</f>
        <v>48000.5797333333</v>
      </c>
      <c r="I12" s="88" t="s">
        <v>78</v>
      </c>
      <c r="J12" s="49" t="n">
        <f aca="false">(E12+E13+E14+E15+E16+E17+E18+E19+E20+E21+E22)/E29</f>
        <v>13598.3738730159</v>
      </c>
      <c r="K12" s="49" t="n">
        <v>19</v>
      </c>
      <c r="L12" s="59" t="n">
        <f aca="false">J12*K12</f>
        <v>258369.103587302</v>
      </c>
      <c r="O12" s="64" t="n">
        <f aca="false">+G12/$G$29*$O$29</f>
        <v>3428.61283809524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'[21]Team Report'!BA28</f>
        <v>238343.32</v>
      </c>
      <c r="E13" s="68" t="n">
        <f aca="false">((C13/9)*12)*1.4</f>
        <v>444907.530666667</v>
      </c>
      <c r="G13" s="64" t="n">
        <f aca="false">((E13/$E$29)*$G$29-19151)*1.2</f>
        <v>66000.3061333334</v>
      </c>
      <c r="I13" s="88"/>
      <c r="L13" s="59"/>
      <c r="O13" s="64" t="n">
        <f aca="false">+G13/$G$29*$O$29</f>
        <v>4714.30758095238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8" t="n">
        <f aca="false">(C14/9)*12</f>
        <v>0</v>
      </c>
      <c r="G14" s="64" t="n">
        <f aca="false">((E14/$E$29)*$G$29+80000)*1.2</f>
        <v>96000</v>
      </c>
      <c r="I14" s="93" t="s">
        <v>125</v>
      </c>
      <c r="J14" s="70"/>
      <c r="K14" s="70"/>
      <c r="L14" s="71" t="n">
        <f aca="false">SUM(L9:L12)</f>
        <v>1707009.1035873</v>
      </c>
      <c r="N14" s="0" t="n">
        <v>2206762</v>
      </c>
      <c r="O14" s="64" t="n">
        <f aca="false">+G14/$G$29*$O$29</f>
        <v>6857.14285714286</v>
      </c>
      <c r="P14" s="66" t="n">
        <f aca="false">N14-L14</f>
        <v>499752.896412698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'[21]Team Report'!BA33</f>
        <v>93641.7</v>
      </c>
      <c r="E15" s="68" t="n">
        <f aca="false">((C15/9)*12)*1.4</f>
        <v>174797.84</v>
      </c>
      <c r="G15" s="64" t="n">
        <f aca="false">((E15/$E$29)*$G$29)*1.2</f>
        <v>34959.568</v>
      </c>
      <c r="I15" s="26"/>
      <c r="O15" s="64" t="n">
        <f aca="false">+G15/$G$29*$O$29</f>
        <v>2497.112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'[21]Team Report'!BA34</f>
        <v>0</v>
      </c>
      <c r="E16" s="68" t="n">
        <f aca="false">(C16/9)*12</f>
        <v>0</v>
      </c>
      <c r="G16" s="64" t="n">
        <f aca="false">((E16/$E$29)*$G$29)*1.2</f>
        <v>0</v>
      </c>
      <c r="I16" s="26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'[21]Team Report'!BA35</f>
        <v>0</v>
      </c>
      <c r="E17" s="68" t="n">
        <f aca="false">(C17/9)*12</f>
        <v>0</v>
      </c>
      <c r="G17" s="64" t="n">
        <f aca="false">((E17/$E$29)*$G$29)*1.2</f>
        <v>0</v>
      </c>
      <c r="I17" s="26" t="s">
        <v>197</v>
      </c>
      <c r="J17" s="49" t="n">
        <v>30000</v>
      </c>
      <c r="K17" s="49" t="n">
        <f aca="false">H17*J17</f>
        <v>0</v>
      </c>
      <c r="L17" s="49" t="n">
        <f aca="false">J17*K17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'[21]Team Report'!BA36</f>
        <v>3626.4</v>
      </c>
      <c r="E18" s="68" t="n">
        <f aca="false">((C18/9)*12)*1.4</f>
        <v>6769.28</v>
      </c>
      <c r="G18" s="64" t="n">
        <f aca="false">((E18/$E$29)*$G$29)*1.2</f>
        <v>1353.856</v>
      </c>
      <c r="I18" s="0" t="s">
        <v>256</v>
      </c>
      <c r="J18" s="49" t="n">
        <f aca="false">40000*1.2</f>
        <v>48000</v>
      </c>
      <c r="K18" s="49" t="n">
        <v>1</v>
      </c>
      <c r="L18" s="49" t="n">
        <f aca="false">J18*K18</f>
        <v>48000</v>
      </c>
      <c r="O18" s="64" t="n">
        <f aca="false">+G18/$G$29*$O$29</f>
        <v>96.704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'[21]Team Report'!BA37</f>
        <v>121524.64</v>
      </c>
      <c r="E19" s="68" t="n">
        <f aca="false">((C19/9)*12)*1.6+21500</f>
        <v>280752.565333333</v>
      </c>
      <c r="G19" s="64" t="n">
        <f aca="false">((E19/$E$29)*$G$29)*1.2</f>
        <v>56150.5130666667</v>
      </c>
      <c r="I19" s="0" t="s">
        <v>138</v>
      </c>
      <c r="J19" s="49" t="n">
        <v>41000</v>
      </c>
      <c r="K19" s="49" t="n">
        <f aca="false">H19*J19</f>
        <v>0</v>
      </c>
      <c r="L19" s="49" t="n">
        <f aca="false">J19*K19</f>
        <v>0</v>
      </c>
      <c r="O19" s="64" t="n">
        <f aca="false">+G19/$G$29*$O$29</f>
        <v>4010.75093333333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'[21]Team Report'!BA38</f>
        <v>1258.2</v>
      </c>
      <c r="E20" s="68" t="n">
        <f aca="false">((C20/9)*12)*1.2</f>
        <v>2013.12</v>
      </c>
      <c r="G20" s="64" t="n">
        <f aca="false">((E20/$E$29)*$G$29-336)*1.2</f>
        <v>-0.575999999999954</v>
      </c>
      <c r="I20" s="0" t="s">
        <v>257</v>
      </c>
      <c r="J20" s="49" t="n">
        <f aca="false">48000*1.2</f>
        <v>57600</v>
      </c>
      <c r="K20" s="49" t="n">
        <v>1</v>
      </c>
      <c r="L20" s="49" t="n">
        <f aca="false">J20*K20</f>
        <v>57600</v>
      </c>
      <c r="O20" s="64" t="n">
        <f aca="false">+G20/$G$29*$O$29</f>
        <v>-0.0411428571428538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'[21]Team Report'!BA42</f>
        <v>33298.46</v>
      </c>
      <c r="E21" s="68" t="n">
        <f aca="false">((C21/9)*12)*1.6</f>
        <v>71036.7146666667</v>
      </c>
      <c r="G21" s="64" t="n">
        <f aca="false">((E21/$E$29)*$G$29+7698)*1.2</f>
        <v>23444.9429333333</v>
      </c>
      <c r="I21" s="0" t="s">
        <v>150</v>
      </c>
      <c r="J21" s="49" t="n">
        <f aca="false">60000*1.2</f>
        <v>72000</v>
      </c>
      <c r="K21" s="49" t="n">
        <v>2</v>
      </c>
      <c r="L21" s="49" t="n">
        <f aca="false">J21*K21</f>
        <v>144000</v>
      </c>
      <c r="O21" s="64" t="n">
        <f aca="false">+G21/$G$29*$O$29</f>
        <v>1674.63878095238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'[21]Team Report'!BA44</f>
        <v>1737.16</v>
      </c>
      <c r="E22" s="68" t="n">
        <f aca="false">((C22/9)*12)*1.2</f>
        <v>2779.456</v>
      </c>
      <c r="G22" s="64" t="n">
        <f aca="false">((E22/$E$29)*$G$29)*1.2</f>
        <v>555.8912</v>
      </c>
      <c r="I22" s="0" t="s">
        <v>141</v>
      </c>
      <c r="J22" s="49" t="n">
        <f aca="false">52000*1.2</f>
        <v>62400</v>
      </c>
      <c r="K22" s="49" t="n">
        <v>3</v>
      </c>
      <c r="L22" s="49" t="n">
        <f aca="false">J22*K22</f>
        <v>187200</v>
      </c>
      <c r="O22" s="64" t="n">
        <f aca="false">+G22/$G$29*$O$29</f>
        <v>39.7065142857143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4836935.05</v>
      </c>
      <c r="E23" s="74" t="n">
        <f aca="false">SUM(E8:E22)</f>
        <v>7169884.41866667</v>
      </c>
      <c r="G23" s="74" t="n">
        <f aca="false">SUM(G8:G22)</f>
        <v>2490545.08106667</v>
      </c>
      <c r="I23" s="0" t="s">
        <v>289</v>
      </c>
      <c r="J23" s="49" t="n">
        <f aca="false">62000*1.2</f>
        <v>74400</v>
      </c>
      <c r="K23" s="49" t="n">
        <v>1</v>
      </c>
      <c r="L23" s="49" t="n">
        <f aca="false">J23*K23</f>
        <v>74400</v>
      </c>
      <c r="O23" s="74" t="n">
        <f aca="false">SUM(O8:O22)</f>
        <v>177896.077219048</v>
      </c>
    </row>
    <row r="24" customFormat="false" ht="12.75" hidden="false" customHeight="false" outlineLevel="0" collapsed="false">
      <c r="I24" s="0" t="s">
        <v>259</v>
      </c>
      <c r="J24" s="49" t="n">
        <f aca="false">75000*1.2</f>
        <v>90000</v>
      </c>
      <c r="K24" s="49" t="n">
        <v>4</v>
      </c>
      <c r="L24" s="49" t="n">
        <f aca="false">J24*K24</f>
        <v>360000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84</v>
      </c>
      <c r="G25" s="108" t="n">
        <f aca="false">SUM(K17:K19,K22:K28)</f>
        <v>11</v>
      </c>
      <c r="I25" s="0" t="s">
        <v>260</v>
      </c>
      <c r="J25" s="49" t="n">
        <f aca="false">100000*1.2</f>
        <v>120000</v>
      </c>
      <c r="K25" s="49" t="n">
        <v>1</v>
      </c>
      <c r="L25" s="49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I26" s="0" t="s">
        <v>290</v>
      </c>
      <c r="J26" s="49" t="n">
        <f aca="false">149000*1.2</f>
        <v>178800</v>
      </c>
      <c r="K26" s="49" t="n">
        <f aca="false">H25*J26</f>
        <v>0</v>
      </c>
      <c r="L26" s="49" t="n">
        <f aca="false">J26*K26</f>
        <v>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G27" s="108" t="n">
        <f aca="false">SUM(K20:K21)</f>
        <v>3</v>
      </c>
      <c r="I27" s="0" t="s">
        <v>262</v>
      </c>
      <c r="J27" s="49" t="n">
        <f aca="false">180000*1.2</f>
        <v>216000</v>
      </c>
      <c r="K27" s="49" t="n">
        <v>1</v>
      </c>
      <c r="L27" s="49" t="n">
        <f aca="false">J27*K27</f>
        <v>216000</v>
      </c>
      <c r="O27" s="77" t="n">
        <f aca="false">+U21+U22</f>
        <v>0</v>
      </c>
    </row>
    <row r="28" customFormat="false" ht="12.75" hidden="false" customHeight="false" outlineLevel="0" collapsed="false">
      <c r="I28" s="0" t="s">
        <v>263</v>
      </c>
      <c r="J28" s="49" t="n">
        <f aca="false">260000*1.2</f>
        <v>312000</v>
      </c>
      <c r="K28" s="49" t="n">
        <f aca="false">H27*J28</f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84</v>
      </c>
      <c r="G29" s="107" t="n">
        <f aca="false">SUM(G25:G28)</f>
        <v>14</v>
      </c>
      <c r="K29" s="49" t="n">
        <f aca="false">SUM(K17:K28)</f>
        <v>14</v>
      </c>
      <c r="L29" s="49" t="n">
        <f aca="false">SUM(L17:L28)</f>
        <v>1207200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'[21]Team Report'!BA29</f>
        <v>0</v>
      </c>
      <c r="E31" s="64" t="n">
        <f aca="false">(C31/9)*12</f>
        <v>0</v>
      </c>
      <c r="I31" s="0" t="s">
        <v>247</v>
      </c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'[21]Team Report'!BA30</f>
        <v>0</v>
      </c>
      <c r="E32" s="64" t="n">
        <f aca="false">(C32/9)*12</f>
        <v>0</v>
      </c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'[21]Team Report'!BA31</f>
        <v>0</v>
      </c>
      <c r="E33" s="64" t="n">
        <f aca="false">(C33/9)*12</f>
        <v>0</v>
      </c>
      <c r="L33" s="49" t="n">
        <f aca="false">L29*1.2</f>
        <v>1448640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'[21]Team Report'!BA39</f>
        <v>0</v>
      </c>
      <c r="E34" s="64" t="n">
        <f aca="false">(C34/9)*12</f>
        <v>0</v>
      </c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'[21]Team Report'!BA40</f>
        <v>77797.27</v>
      </c>
      <c r="E35" s="64" t="n">
        <f aca="false">(C35/9)*12</f>
        <v>103729.693333333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'[21]Team Report'!BA41</f>
        <v>677124.54</v>
      </c>
      <c r="E36" s="64" t="n">
        <f aca="false">(C36/9)*12</f>
        <v>902832.72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'[21]Team Report'!BA43</f>
        <v>-1637349.75</v>
      </c>
      <c r="E37" s="64" t="n">
        <f aca="false">(C37/9)*12</f>
        <v>-2183133</v>
      </c>
      <c r="H37" s="16" t="s">
        <v>160</v>
      </c>
      <c r="I37" s="49"/>
      <c r="L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'[21]Team Report'!BA45</f>
        <v>15745.09</v>
      </c>
      <c r="E38" s="64" t="n">
        <f aca="false">(C38/9)*12</f>
        <v>20993.4533333333</v>
      </c>
      <c r="I38" s="49"/>
      <c r="L38" s="0"/>
    </row>
    <row r="39" customFormat="false" ht="12.75" hidden="true" customHeight="false" outlineLevel="0" collapsed="false">
      <c r="A39" s="122" t="s">
        <v>126</v>
      </c>
      <c r="B39" s="63" t="s">
        <v>127</v>
      </c>
      <c r="C39" s="64" t="n">
        <v>180700.52</v>
      </c>
      <c r="E39" s="64" t="n">
        <v>240934.026666667</v>
      </c>
      <c r="H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H40" s="81" t="n">
        <f aca="false">SUM(E12:E22)</f>
        <v>1142263.40533333</v>
      </c>
      <c r="I40" s="109" t="n">
        <f aca="false">+E29</f>
        <v>84</v>
      </c>
      <c r="J40" s="80" t="n">
        <f aca="false">+H40/I40</f>
        <v>13598.3738730159</v>
      </c>
      <c r="K40" s="109" t="n">
        <f aca="false">+K12</f>
        <v>19</v>
      </c>
      <c r="L40" s="80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50" t="str">
        <f aca="false">'[22]Team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73</v>
      </c>
      <c r="C2" s="50"/>
      <c r="D2" s="50"/>
      <c r="E2" s="50"/>
      <c r="F2" s="50"/>
      <c r="G2" s="52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 t="s">
        <v>73</v>
      </c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 t="s">
        <v>110</v>
      </c>
      <c r="J6" s="88"/>
      <c r="K6" s="80" t="s">
        <v>105</v>
      </c>
      <c r="L6" s="80" t="s">
        <v>106</v>
      </c>
      <c r="M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'[22]Team Report'!BA25</f>
        <v>10228335.79</v>
      </c>
      <c r="E8" s="64" t="n">
        <f aca="false">(C8/9)*12</f>
        <v>13637781.0533333</v>
      </c>
      <c r="F8" s="64" t="n">
        <f aca="false">(M21+M25+M26+M27+M28+360800)*1.2</f>
        <v>3876000</v>
      </c>
      <c r="J8" s="88"/>
      <c r="M8" s="59"/>
      <c r="O8" s="64" t="n">
        <f aca="false">+F8/$F$29*$O$29</f>
        <v>176181.818181818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v>0</v>
      </c>
      <c r="J9" s="88" t="s">
        <v>116</v>
      </c>
      <c r="K9" s="49" t="n">
        <v>0</v>
      </c>
      <c r="L9" s="49" t="n">
        <f aca="false">L29</f>
        <v>21</v>
      </c>
      <c r="M9" s="59" t="n">
        <f aca="false">M33</f>
        <v>3954960</v>
      </c>
      <c r="O9" s="64" t="n">
        <f aca="false">+F9/$F$29*$O$29</f>
        <v>0</v>
      </c>
    </row>
    <row r="10" customFormat="false" ht="12.75" hidden="true" customHeight="false" outlineLevel="0" collapsed="false">
      <c r="A10" s="62"/>
      <c r="B10" s="63" t="s">
        <v>225</v>
      </c>
      <c r="C10" s="64" t="n">
        <v>0</v>
      </c>
      <c r="E10" s="64" t="n">
        <f aca="false">(C10/9)*12</f>
        <v>0</v>
      </c>
      <c r="F10" s="64" t="n">
        <v>0</v>
      </c>
      <c r="J10" s="88"/>
      <c r="M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'[22]Team Report'!BA26</f>
        <v>1877442.13</v>
      </c>
      <c r="E11" s="64" t="n">
        <f aca="false">(C11/9)*12</f>
        <v>2503256.17333333</v>
      </c>
      <c r="F11" s="64" t="n">
        <f aca="false">(F8*0.2)*1.2</f>
        <v>930240</v>
      </c>
      <c r="J11" s="88"/>
      <c r="M11" s="59"/>
      <c r="O11" s="64" t="n">
        <f aca="false">+F11/$F$29*$O$29</f>
        <v>42283.6363636364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'[22]Team Report'!BA27</f>
        <v>405632.98</v>
      </c>
      <c r="E12" s="64" t="n">
        <f aca="false">((C12/9)*12)*2.6</f>
        <v>1406194.33066667</v>
      </c>
      <c r="F12" s="64" t="n">
        <f aca="false">(E12/$E$29*$L$12+179963)*1.2</f>
        <v>535199.718313513</v>
      </c>
      <c r="J12" s="88" t="s">
        <v>78</v>
      </c>
      <c r="K12" s="49" t="n">
        <f aca="false">(E12+E13+E15+E16+E17+E18+E19+E20+E21+E22)/E29</f>
        <v>50608.3852504505</v>
      </c>
      <c r="L12" s="49" t="n">
        <f aca="false">L29</f>
        <v>21</v>
      </c>
      <c r="M12" s="59" t="n">
        <f aca="false">K12*L12+5000000</f>
        <v>6062776.09025946</v>
      </c>
      <c r="O12" s="64" t="n">
        <f aca="false">+F12/$F$29*$O$29</f>
        <v>24327.2599233415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'[22]Team Report'!BA28</f>
        <v>648740.17</v>
      </c>
      <c r="E13" s="64" t="n">
        <f aca="false">((C13/9)*12)*2.13</f>
        <v>1842422.0828</v>
      </c>
      <c r="F13" s="64" t="n">
        <f aca="false">(E13/$E$29*$L$12+68434)*1.2</f>
        <v>500400.407987027</v>
      </c>
      <c r="J13" s="88"/>
      <c r="M13" s="59"/>
      <c r="O13" s="64" t="n">
        <f aca="false">+F13/$F$29*$O$29</f>
        <v>22745.4730903194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v>0</v>
      </c>
      <c r="F14" s="64" t="n">
        <v>4200000</v>
      </c>
      <c r="J14" s="93" t="s">
        <v>125</v>
      </c>
      <c r="K14" s="70"/>
      <c r="L14" s="70"/>
      <c r="M14" s="71" t="n">
        <f aca="false">SUM(M9:M12)</f>
        <v>10017736.0902595</v>
      </c>
      <c r="O14" s="64" t="n">
        <f aca="false">+F14/$F$29*$O$29</f>
        <v>190909.090909091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'[22]Team Report'!BA33</f>
        <v>76876.32</v>
      </c>
      <c r="E15" s="64" t="n">
        <f aca="false">((C15/9)*12)*2.1</f>
        <v>215253.696</v>
      </c>
      <c r="F15" s="64" t="n">
        <f aca="false">(E15/$E$29*$L$12+4276)*1.2</f>
        <v>53999.6066594595</v>
      </c>
      <c r="I15" s="66" t="n">
        <f aca="false">M14-F23</f>
        <v>-567042.818051893</v>
      </c>
      <c r="J15" s="26"/>
      <c r="O15" s="64" t="n">
        <f aca="false">+F15/$F$29*$O$29</f>
        <v>2454.52757542998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'[22]Team Report'!BA34</f>
        <v>0</v>
      </c>
      <c r="E16" s="64" t="n">
        <f aca="false">((C16/9)*12)*1.2</f>
        <v>0</v>
      </c>
      <c r="F16" s="64" t="n">
        <f aca="false">(E16/$E$29*$L$12)*1.2</f>
        <v>0</v>
      </c>
      <c r="J16" s="26"/>
      <c r="L16" s="106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'[22]Team Report'!BA35</f>
        <v>0</v>
      </c>
      <c r="E17" s="64" t="n">
        <f aca="false">((C17/9)*12)*1.2</f>
        <v>0</v>
      </c>
      <c r="F17" s="64" t="n">
        <f aca="false">(E17/$E$29*$L$12)*1.2</f>
        <v>0</v>
      </c>
      <c r="J17" s="0" t="s">
        <v>197</v>
      </c>
      <c r="K17" s="49" t="n">
        <v>33600</v>
      </c>
      <c r="L17" s="49" t="n">
        <v>0</v>
      </c>
      <c r="M17" s="49" t="n">
        <f aca="false">K17*L17</f>
        <v>0</v>
      </c>
      <c r="O17" s="64" t="n">
        <f aca="false">+F17/$F$29*$O$29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'[22]Team Report'!BA36</f>
        <v>5744.1</v>
      </c>
      <c r="E18" s="64" t="n">
        <f aca="false">((C18/9)*12)*1.6</f>
        <v>12254.08</v>
      </c>
      <c r="F18" s="64" t="n">
        <f aca="false">(E18/$E$29*$L$12)*1.2</f>
        <v>2782.00735135135</v>
      </c>
      <c r="J18" s="0" t="s">
        <v>135</v>
      </c>
      <c r="K18" s="49" t="n">
        <v>52800</v>
      </c>
      <c r="L18" s="49" t="n">
        <v>2</v>
      </c>
      <c r="M18" s="49" t="n">
        <f aca="false">K18*L18</f>
        <v>105600</v>
      </c>
      <c r="O18" s="64" t="n">
        <f aca="false">+F18/$F$29*$O$29</f>
        <v>126.45487960688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'[22]Team Report'!BA37</f>
        <v>67058.6</v>
      </c>
      <c r="E19" s="64" t="n">
        <f aca="false">((C19/9)*12)*1.85</f>
        <v>165411.213333333</v>
      </c>
      <c r="F19" s="64" t="n">
        <f aca="false">(E19/$E$29*$L$12)*1.2</f>
        <v>37552.816</v>
      </c>
      <c r="J19" s="0" t="s">
        <v>138</v>
      </c>
      <c r="K19" s="49" t="n">
        <v>54000</v>
      </c>
      <c r="L19" s="49" t="n">
        <v>0</v>
      </c>
      <c r="M19" s="49" t="n">
        <f aca="false">K19*L19</f>
        <v>0</v>
      </c>
      <c r="O19" s="64" t="n">
        <f aca="false">+F19/$F$29*$O$29</f>
        <v>1706.94618181818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'[22]Team Report'!BA38</f>
        <v>0</v>
      </c>
      <c r="E20" s="64" t="n">
        <f aca="false">((C20/9)*12)*1.2</f>
        <v>0</v>
      </c>
      <c r="F20" s="64" t="n">
        <f aca="false">(E20/$E$29*$L$12)*1.2</f>
        <v>0</v>
      </c>
      <c r="J20" s="0" t="s">
        <v>141</v>
      </c>
      <c r="K20" s="49" t="n">
        <v>63000</v>
      </c>
      <c r="L20" s="49" t="n">
        <v>3</v>
      </c>
      <c r="M20" s="49" t="n">
        <f aca="false">K20*L20</f>
        <v>189000</v>
      </c>
      <c r="O20" s="64" t="n">
        <f aca="false">+F20/$F$29*$O$29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'[22]Team Report'!BA42</f>
        <v>842429.76</v>
      </c>
      <c r="E21" s="64" t="n">
        <f aca="false">((C21/9)*12)*1.75</f>
        <v>1965669.44</v>
      </c>
      <c r="F21" s="64" t="n">
        <f aca="false">(E21/$E$29*$L$12)*1.2</f>
        <v>446260.089081081</v>
      </c>
      <c r="J21" s="0" t="s">
        <v>144</v>
      </c>
      <c r="K21" s="49" t="n">
        <v>78000</v>
      </c>
      <c r="L21" s="49" t="n">
        <v>0</v>
      </c>
      <c r="M21" s="49" t="n">
        <f aca="false">K21*L21</f>
        <v>0</v>
      </c>
      <c r="O21" s="64" t="n">
        <f aca="false">+F21/$F$29*$O$29</f>
        <v>20284.5495036855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'[22]Team Report'!BA44</f>
        <v>6453.7</v>
      </c>
      <c r="E22" s="64" t="n">
        <f aca="false">((C22/9)*12)*1.2</f>
        <v>10325.92</v>
      </c>
      <c r="F22" s="64" t="n">
        <f aca="false">(E22/$E$29*$L$12)*1.2</f>
        <v>2344.26291891892</v>
      </c>
      <c r="J22" s="0" t="s">
        <v>147</v>
      </c>
      <c r="K22" s="49" t="n">
        <v>66000</v>
      </c>
      <c r="L22" s="49" t="n">
        <v>0</v>
      </c>
      <c r="M22" s="49" t="n">
        <f aca="false">K22*L22</f>
        <v>0</v>
      </c>
      <c r="O22" s="64" t="n">
        <f aca="false">+F22/$F$29*$O$29</f>
        <v>106.557405405405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21758567.9894667</v>
      </c>
      <c r="F23" s="74" t="n">
        <f aca="false">SUM(F8:F22)</f>
        <v>10584778.9083114</v>
      </c>
      <c r="J23" s="0" t="s">
        <v>150</v>
      </c>
      <c r="K23" s="49" t="n">
        <v>97200</v>
      </c>
      <c r="L23" s="49" t="n">
        <v>0</v>
      </c>
      <c r="M23" s="49" t="n">
        <f aca="false">K23*L23</f>
        <v>0</v>
      </c>
      <c r="O23" s="96" t="n">
        <f aca="false">SUM(O8:O22)</f>
        <v>481126.314014152</v>
      </c>
    </row>
    <row r="24" customFormat="false" ht="12.75" hidden="false" customHeight="false" outlineLevel="0" collapsed="false">
      <c r="J24" s="0" t="s">
        <v>153</v>
      </c>
      <c r="K24" s="49" t="n">
        <v>132000</v>
      </c>
      <c r="L24" s="49" t="n">
        <v>1</v>
      </c>
      <c r="M24" s="49" t="n">
        <f aca="false">K24*L24</f>
        <v>132000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F25" s="108" t="n">
        <v>22</v>
      </c>
      <c r="J25" s="0" t="s">
        <v>290</v>
      </c>
      <c r="K25" s="49" t="n">
        <v>178800</v>
      </c>
      <c r="L25" s="49" t="n">
        <v>9</v>
      </c>
      <c r="M25" s="49" t="n">
        <f aca="false">K25*L25</f>
        <v>1609200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303</v>
      </c>
      <c r="K26" s="49" t="n">
        <v>195600</v>
      </c>
      <c r="L26" s="49" t="n">
        <v>2</v>
      </c>
      <c r="M26" s="49" t="n">
        <f aca="false">K26*L26</f>
        <v>391200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107"/>
      <c r="J27" s="0" t="s">
        <v>304</v>
      </c>
      <c r="K27" s="49" t="n">
        <v>217200</v>
      </c>
      <c r="L27" s="49" t="n">
        <v>4</v>
      </c>
      <c r="M27" s="49" t="n">
        <f aca="false">K27*L27</f>
        <v>868800</v>
      </c>
      <c r="O27" s="77" t="n">
        <f aca="false">SUM(U21:U22)</f>
        <v>0</v>
      </c>
    </row>
    <row r="28" customFormat="false" ht="12.75" hidden="false" customHeight="false" outlineLevel="0" collapsed="false">
      <c r="J28" s="0" t="s">
        <v>158</v>
      </c>
      <c r="K28" s="49" t="n">
        <v>345600</v>
      </c>
      <c r="L28" s="49" t="n"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F29" s="107" t="n">
        <f aca="false">SUM(F25:F28)</f>
        <v>22</v>
      </c>
      <c r="L29" s="49" t="n">
        <f aca="false">SUM(L17:L28)</f>
        <v>21</v>
      </c>
      <c r="M29" s="49" t="n">
        <f aca="false">SUM(M17:M28)</f>
        <v>3295800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'[22]Team Report'!BA29</f>
        <v>-24140467.68</v>
      </c>
      <c r="E31" s="64" t="n">
        <f aca="false">(C31/9)*12</f>
        <v>-32187290.24</v>
      </c>
      <c r="F31" s="64"/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'[22]Team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'[22]Team Report'!BA31</f>
        <v>0</v>
      </c>
      <c r="E33" s="64" t="n">
        <f aca="false">(C33/9)*12</f>
        <v>0</v>
      </c>
      <c r="F33" s="64"/>
      <c r="M33" s="49" t="n">
        <f aca="false">M29*1.2</f>
        <v>3954960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'[22]Team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'[22]Team Report'!BA40</f>
        <v>164920.93</v>
      </c>
      <c r="E35" s="64" t="n">
        <f aca="false">(C35/9)*12</f>
        <v>219894.573333333</v>
      </c>
      <c r="F35" s="64"/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'[22]Team Report'!BA41</f>
        <v>945381.27</v>
      </c>
      <c r="E36" s="64" t="n">
        <f aca="false">(C36/9)*12</f>
        <v>1260508.36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'[22]Team Report'!BA43</f>
        <v>-5121278.52</v>
      </c>
      <c r="E37" s="64" t="n">
        <f aca="false">(C37/9)*12</f>
        <v>-6828371.36</v>
      </c>
      <c r="F37" s="64"/>
      <c r="I37" s="16" t="s">
        <v>160</v>
      </c>
      <c r="J37" s="49"/>
      <c r="M37" s="0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'[22]Team Report'!BA45</f>
        <v>0</v>
      </c>
      <c r="E38" s="64" t="n">
        <f aca="false">(C38/9)*12</f>
        <v>0</v>
      </c>
      <c r="F38" s="64"/>
      <c r="J38" s="49"/>
      <c r="M38" s="0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32191701.9066667</v>
      </c>
      <c r="F39" s="64"/>
      <c r="I39" s="79" t="s">
        <v>161</v>
      </c>
      <c r="J39" s="80" t="s">
        <v>162</v>
      </c>
      <c r="K39" s="80" t="s">
        <v>163</v>
      </c>
      <c r="L39" s="80" t="s">
        <v>106</v>
      </c>
      <c r="M39" s="80" t="s">
        <v>164</v>
      </c>
    </row>
    <row r="40" customFormat="false" ht="12.75" hidden="false" customHeight="false" outlineLevel="0" collapsed="false">
      <c r="I40" s="81" t="n">
        <f aca="false">SUM(E12:E22)</f>
        <v>5617530.7628</v>
      </c>
      <c r="J40" s="109" t="n">
        <f aca="false">+E29</f>
        <v>111</v>
      </c>
      <c r="K40" s="80" t="n">
        <f aca="false">+I40/J40</f>
        <v>50608.3852504505</v>
      </c>
      <c r="L40" s="80" t="n">
        <f aca="false">+L12</f>
        <v>21</v>
      </c>
      <c r="M40" s="80" t="n">
        <f aca="false">+K40*L40</f>
        <v>1062776.09025946</v>
      </c>
      <c r="N40" s="4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305</v>
      </c>
      <c r="K42" s="0"/>
      <c r="M42" s="0"/>
    </row>
    <row r="44" customFormat="false" ht="12.75" hidden="false" customHeight="false" outlineLevel="0" collapsed="false">
      <c r="C44" s="102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49" width="10.41"/>
    <col collapsed="false" customWidth="true" hidden="false" outlineLevel="0" max="12" min="12" style="49" width="10.85"/>
    <col collapsed="false" customWidth="true" hidden="false" outlineLevel="0" max="13" min="13" style="4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50" t="str">
        <f aca="false">'[16]Team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269</v>
      </c>
      <c r="C2" s="50"/>
      <c r="D2" s="50"/>
      <c r="E2" s="50"/>
      <c r="F2" s="50"/>
      <c r="G2" s="50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J6" s="88"/>
      <c r="K6" s="80" t="s">
        <v>105</v>
      </c>
      <c r="L6" s="80" t="s">
        <v>106</v>
      </c>
      <c r="M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'[16]Team Report'!BA25</f>
        <v>10228335.79</v>
      </c>
      <c r="E8" s="64" t="n">
        <f aca="false">+C8/9*12</f>
        <v>13637781.0533333</v>
      </c>
      <c r="F8" s="64"/>
      <c r="G8" s="64" t="n">
        <f aca="false">SUM(M19:M28)+3000000</f>
        <v>18144000</v>
      </c>
      <c r="J8" s="88"/>
      <c r="M8" s="59"/>
      <c r="O8" s="64" t="n">
        <f aca="false">+G8/$G$29*$O$29</f>
        <v>136421.052631579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+C9/9*12</f>
        <v>0</v>
      </c>
      <c r="F9" s="64"/>
      <c r="G9" s="64" t="n">
        <f aca="false">+E9/9*12</f>
        <v>0</v>
      </c>
      <c r="J9" s="88" t="s">
        <v>116</v>
      </c>
      <c r="K9" s="49" t="n">
        <v>0</v>
      </c>
      <c r="L9" s="49" t="n">
        <f aca="false">+L35</f>
        <v>128</v>
      </c>
      <c r="M9" s="59" t="n">
        <f aca="false">M35</f>
        <v>18172800</v>
      </c>
      <c r="O9" s="64" t="n">
        <f aca="false">+G9/$G$29*$O$29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+C10/9*12</f>
        <v>0</v>
      </c>
      <c r="F10" s="64"/>
      <c r="G10" s="64" t="n">
        <f aca="false">+E10/9*12</f>
        <v>0</v>
      </c>
      <c r="J10" s="88"/>
      <c r="M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'[16]Team Report'!BA26</f>
        <v>1877442.13</v>
      </c>
      <c r="E11" s="64" t="n">
        <f aca="false">+C11/9*12</f>
        <v>2503256.17333333</v>
      </c>
      <c r="F11" s="64"/>
      <c r="G11" s="64" t="n">
        <f aca="false">+G8*0.2</f>
        <v>3628800</v>
      </c>
      <c r="J11" s="88"/>
      <c r="M11" s="59"/>
      <c r="O11" s="64" t="n">
        <f aca="false">+G11/$G$29*$O$29</f>
        <v>27284.2105263158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'[16]Team Report'!BA27</f>
        <v>405632.98</v>
      </c>
      <c r="E12" s="64" t="n">
        <f aca="false">+C12/9*12</f>
        <v>540843.973333333</v>
      </c>
      <c r="F12" s="64"/>
      <c r="G12" s="64" t="n">
        <f aca="false">+$M$12*0.25+950000</f>
        <v>1660208</v>
      </c>
      <c r="J12" s="88" t="s">
        <v>78</v>
      </c>
      <c r="K12" s="49" t="n">
        <f aca="false">18495*1.2</f>
        <v>22194</v>
      </c>
      <c r="L12" s="49" t="n">
        <f aca="false">+L35</f>
        <v>128</v>
      </c>
      <c r="M12" s="59" t="n">
        <f aca="false">K12*L12</f>
        <v>2840832</v>
      </c>
      <c r="O12" s="64" t="n">
        <f aca="false">+G12/$G$29*$O$29</f>
        <v>12482.7669172932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'[16]Team Report'!BA28</f>
        <v>648740.17</v>
      </c>
      <c r="E13" s="64" t="n">
        <f aca="false">+C13/9*12</f>
        <v>864986.893333333</v>
      </c>
      <c r="F13" s="64"/>
      <c r="G13" s="64" t="n">
        <f aca="false">+$M$12*0.13+500000</f>
        <v>869308.16</v>
      </c>
      <c r="J13" s="88"/>
      <c r="M13" s="59"/>
      <c r="O13" s="64" t="n">
        <f aca="false">+G13/$G$29*$O$29</f>
        <v>6536.15157894737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+C14/9*12</f>
        <v>0</v>
      </c>
      <c r="F14" s="64"/>
      <c r="G14" s="64" t="n">
        <v>0</v>
      </c>
      <c r="J14" s="93" t="s">
        <v>125</v>
      </c>
      <c r="K14" s="70"/>
      <c r="L14" s="70"/>
      <c r="M14" s="71" t="n">
        <f aca="false">SUM(M9:M12)</f>
        <v>21013632</v>
      </c>
      <c r="O14" s="64" t="n">
        <f aca="false">+G14/$G$29*$O$29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'[16]Team Report'!BA33</f>
        <v>76876.32</v>
      </c>
      <c r="E15" s="64" t="n">
        <f aca="false">+C15/9*12</f>
        <v>102501.76</v>
      </c>
      <c r="F15" s="64"/>
      <c r="G15" s="64" t="n">
        <f aca="false">+$M$12*0.08+90000</f>
        <v>317266.56</v>
      </c>
      <c r="J15" s="26"/>
      <c r="O15" s="64" t="n">
        <f aca="false">+G15/$G$29*$O$29</f>
        <v>2385.46285714286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'[16]Team Report'!BA34</f>
        <v>0</v>
      </c>
      <c r="E16" s="64" t="n">
        <f aca="false">+C16/9*12</f>
        <v>0</v>
      </c>
      <c r="F16" s="64"/>
      <c r="G16" s="64" t="n">
        <v>0</v>
      </c>
      <c r="J16" s="26"/>
      <c r="L16" s="106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'[16]Team Report'!BA35</f>
        <v>0</v>
      </c>
      <c r="E17" s="64" t="n">
        <f aca="false">+C17/9*12</f>
        <v>0</v>
      </c>
      <c r="F17" s="64"/>
      <c r="G17" s="64" t="n">
        <v>0</v>
      </c>
      <c r="J17" s="0" t="s">
        <v>197</v>
      </c>
      <c r="K17" s="49" t="n">
        <v>49200</v>
      </c>
      <c r="L17" s="49" t="n">
        <v>0</v>
      </c>
      <c r="M17" s="49" t="n">
        <f aca="false">K17*L17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'[16]Team Report'!BA36</f>
        <v>5744.1</v>
      </c>
      <c r="E18" s="64" t="n">
        <f aca="false">+C18/9*12</f>
        <v>7658.8</v>
      </c>
      <c r="F18" s="64"/>
      <c r="G18" s="64" t="n">
        <v>0</v>
      </c>
      <c r="J18" s="0" t="s">
        <v>135</v>
      </c>
      <c r="K18" s="49" t="n">
        <v>57600</v>
      </c>
      <c r="L18" s="49" t="n">
        <v>0</v>
      </c>
      <c r="M18" s="49" t="n">
        <f aca="false">K18*L18</f>
        <v>0</v>
      </c>
      <c r="O18" s="64" t="n">
        <f aca="false">+G18/$G$29*$O$29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'[16]Team Report'!BA37</f>
        <v>67058.6</v>
      </c>
      <c r="E19" s="64" t="n">
        <f aca="false">+C19/9*12</f>
        <v>89411.4666666667</v>
      </c>
      <c r="F19" s="64"/>
      <c r="G19" s="64" t="n">
        <f aca="false">+$M$12*0.19+2000000</f>
        <v>2539758.08</v>
      </c>
      <c r="J19" s="0" t="s">
        <v>138</v>
      </c>
      <c r="K19" s="49" t="n">
        <v>60000</v>
      </c>
      <c r="L19" s="49" t="n">
        <v>3</v>
      </c>
      <c r="M19" s="49" t="n">
        <f aca="false">K19*L19</f>
        <v>180000</v>
      </c>
      <c r="O19" s="64" t="n">
        <f aca="false">+G19/$G$29*$O$29</f>
        <v>19095.9254135338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'[16]Team Report'!BA38</f>
        <v>0</v>
      </c>
      <c r="E20" s="64" t="n">
        <f aca="false">+C20/9*12</f>
        <v>0</v>
      </c>
      <c r="F20" s="64"/>
      <c r="G20" s="64" t="n">
        <v>0</v>
      </c>
      <c r="J20" s="0" t="s">
        <v>141</v>
      </c>
      <c r="K20" s="49" t="n">
        <v>78000</v>
      </c>
      <c r="L20" s="49" t="n">
        <v>24</v>
      </c>
      <c r="M20" s="49" t="n">
        <f aca="false">K20*L20</f>
        <v>1872000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'[16]Team Report'!BA42</f>
        <v>842429.76</v>
      </c>
      <c r="E21" s="64" t="n">
        <f aca="false">+C21/9*12</f>
        <v>1123239.68</v>
      </c>
      <c r="F21" s="64"/>
      <c r="G21" s="64" t="n">
        <f aca="false">2295000+6368166</f>
        <v>8663166</v>
      </c>
      <c r="J21" s="0" t="s">
        <v>144</v>
      </c>
      <c r="K21" s="49" t="n">
        <v>102000</v>
      </c>
      <c r="L21" s="49" t="n">
        <v>62</v>
      </c>
      <c r="M21" s="49" t="n">
        <f aca="false">K21*L21</f>
        <v>6324000</v>
      </c>
      <c r="O21" s="64" t="n">
        <f aca="false">+G21/$G$29*$O$29</f>
        <v>65136.5864661654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'[16]Team Report'!BA44</f>
        <v>6453.7</v>
      </c>
      <c r="E22" s="64" t="n">
        <f aca="false">+C22/9*12</f>
        <v>8604.93333333333</v>
      </c>
      <c r="F22" s="64"/>
      <c r="G22" s="64" t="n">
        <v>0</v>
      </c>
      <c r="J22" s="0" t="s">
        <v>270</v>
      </c>
      <c r="K22" s="49" t="n">
        <v>192000</v>
      </c>
      <c r="L22" s="49" t="n">
        <v>1</v>
      </c>
      <c r="M22" s="49" t="n">
        <f aca="false">K22*L22</f>
        <v>192000</v>
      </c>
      <c r="O22" s="64" t="n">
        <f aca="false">+G22/$G$29*$O$29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18878284.7333333</v>
      </c>
      <c r="F23" s="76"/>
      <c r="G23" s="74" t="n">
        <f aca="false">SUM(G8:G22)</f>
        <v>35822506.8</v>
      </c>
      <c r="J23" s="0" t="s">
        <v>271</v>
      </c>
      <c r="K23" s="49" t="n">
        <v>192000</v>
      </c>
      <c r="L23" s="49" t="n">
        <v>9</v>
      </c>
      <c r="M23" s="49" t="n">
        <f aca="false">K23*L23</f>
        <v>1728000</v>
      </c>
      <c r="O23" s="74" t="n">
        <f aca="false">SUM(O8:O22)</f>
        <v>269342.156390977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15</v>
      </c>
      <c r="M24" s="49" t="n">
        <f aca="false">K24*L24</f>
        <v>2160000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F25" s="3" t="n">
        <v>40</v>
      </c>
      <c r="G25" s="108" t="n">
        <v>133</v>
      </c>
      <c r="J25" s="0" t="s">
        <v>154</v>
      </c>
      <c r="K25" s="49" t="n">
        <v>168000</v>
      </c>
      <c r="L25" s="49" t="n">
        <v>7</v>
      </c>
      <c r="M25" s="49" t="n">
        <f aca="false">K25*L25</f>
        <v>1176000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155</v>
      </c>
      <c r="K26" s="49" t="n">
        <v>216000</v>
      </c>
      <c r="L26" s="49" t="n">
        <v>7</v>
      </c>
      <c r="M26" s="49" t="n">
        <f aca="false">K26*L26</f>
        <v>1512000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3"/>
      <c r="G27" s="107"/>
      <c r="J27" s="0" t="s">
        <v>156</v>
      </c>
      <c r="K27" s="49" t="n">
        <v>222000</v>
      </c>
      <c r="L27" s="49" t="n">
        <v>0</v>
      </c>
      <c r="M27" s="49" t="n">
        <f aca="false">K27*L27</f>
        <v>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F29" s="3"/>
      <c r="G29" s="107" t="n">
        <f aca="false">SUM(G25:G28)</f>
        <v>133</v>
      </c>
      <c r="L29" s="49" t="n">
        <f aca="false">SUM(L17:L28)</f>
        <v>128</v>
      </c>
      <c r="M29" s="49" t="n">
        <f aca="false">SUM(M17:M28)</f>
        <v>15144000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'[16]Team Report'!BA29</f>
        <v>-24140467.68</v>
      </c>
      <c r="E31" s="64" t="n">
        <v>0</v>
      </c>
      <c r="F31" s="64"/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'[16]Team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'[16]Team Report'!BA31</f>
        <v>0</v>
      </c>
      <c r="E33" s="64" t="n">
        <f aca="false">(C33/9)*12</f>
        <v>0</v>
      </c>
      <c r="F33" s="64"/>
      <c r="J33" s="0" t="s">
        <v>252</v>
      </c>
      <c r="K33" s="49" t="n">
        <v>160000</v>
      </c>
      <c r="L33" s="49" t="n">
        <v>0</v>
      </c>
      <c r="M33" s="49" t="n">
        <f aca="false">K33*L33</f>
        <v>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'[16]Team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'[16]Team Report'!BA40</f>
        <v>164920.93</v>
      </c>
      <c r="E35" s="64" t="n">
        <v>0</v>
      </c>
      <c r="F35" s="64"/>
      <c r="L35" s="49" t="n">
        <f aca="false">+L29+L33</f>
        <v>128</v>
      </c>
      <c r="M35" s="49" t="n">
        <f aca="false">M29*1.2+M33</f>
        <v>18172800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'[16]Team Report'!BA41</f>
        <v>945381.27</v>
      </c>
      <c r="E36" s="64" t="n">
        <v>0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'[16]Team Report'!BA43</f>
        <v>-5121278.52</v>
      </c>
      <c r="E37" s="64" t="n">
        <v>0</v>
      </c>
      <c r="F37" s="64"/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'[16]Team Report'!BA45</f>
        <v>0</v>
      </c>
      <c r="E38" s="64" t="n">
        <f aca="false">(C38/9)*12</f>
        <v>0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0</v>
      </c>
      <c r="F39" s="64"/>
      <c r="I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-13992730.45</v>
      </c>
    </row>
    <row r="46" customFormat="false" ht="12.75" hidden="false" customHeight="false" outlineLevel="0" collapsed="false">
      <c r="B46" s="63" t="s">
        <v>272</v>
      </c>
    </row>
    <row r="47" customFormat="false" ht="12.75" hidden="false" customHeight="false" outlineLevel="0" collapsed="false">
      <c r="B47" s="63" t="s">
        <v>273</v>
      </c>
    </row>
    <row r="48" customFormat="false" ht="12.75" hidden="false" customHeight="false" outlineLevel="0" collapsed="false">
      <c r="B48" s="63" t="s">
        <v>274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182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687774</v>
      </c>
      <c r="I8" s="58" t="s">
        <v>116</v>
      </c>
      <c r="J8" s="49" t="n">
        <v>0</v>
      </c>
      <c r="L8" s="59" t="n">
        <f aca="false">L30</f>
        <v>839520</v>
      </c>
      <c r="Q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(L21+L22)*1.2</f>
        <v>0</v>
      </c>
      <c r="I10" s="58"/>
      <c r="L10" s="59"/>
      <c r="Q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v>109802.4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4</v>
      </c>
      <c r="L11" s="59" t="n">
        <f aca="false">J11*K11</f>
        <v>193080.725</v>
      </c>
      <c r="Q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81394.8</v>
      </c>
      <c r="I12" s="58"/>
      <c r="L12" s="59"/>
      <c r="Q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466285.2</v>
      </c>
      <c r="I13" s="69" t="s">
        <v>125</v>
      </c>
      <c r="J13" s="70"/>
      <c r="K13" s="70"/>
      <c r="L13" s="71" t="n">
        <f aca="false">L8+L11</f>
        <v>1032600.725</v>
      </c>
      <c r="N13" s="49"/>
      <c r="P13" s="66"/>
      <c r="Q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48000</v>
      </c>
      <c r="Q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131794.8</v>
      </c>
      <c r="Q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10285.2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0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54856.8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13714.8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P21" s="26"/>
      <c r="Q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P22" s="26"/>
      <c r="Q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1603908</v>
      </c>
      <c r="I23" s="49" t="s">
        <v>153</v>
      </c>
      <c r="J23" s="49" t="n">
        <v>110000</v>
      </c>
      <c r="K23" s="49" t="n">
        <v>2</v>
      </c>
      <c r="L23" s="49" t="n">
        <f aca="false">J23*K23</f>
        <v>220000</v>
      </c>
      <c r="P23" s="26"/>
      <c r="Q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  <c r="P24" s="26"/>
      <c r="Q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4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P25" s="26"/>
      <c r="Q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P26" s="26"/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1</v>
      </c>
      <c r="L27" s="49" t="n">
        <f aca="false">J27*K27</f>
        <v>220000</v>
      </c>
      <c r="P27" s="26"/>
      <c r="Q27" s="64"/>
    </row>
    <row r="28" customFormat="false" ht="12.75" hidden="false" customHeight="false" outlineLevel="0" collapsed="false">
      <c r="K28" s="49" t="n">
        <f aca="false">SUM(K16:K27)</f>
        <v>4</v>
      </c>
      <c r="L28" s="49" t="n">
        <f aca="false">SUM(L16:L27)*1.2</f>
        <v>699600</v>
      </c>
      <c r="P28" s="26"/>
      <c r="Q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4</v>
      </c>
      <c r="L29" s="78" t="n">
        <v>0.2</v>
      </c>
      <c r="P29" s="26"/>
      <c r="Q29" s="64"/>
    </row>
    <row r="30" customFormat="false" ht="12.75" hidden="true" customHeight="false" outlineLevel="0" collapsed="false">
      <c r="L30" s="49" t="n">
        <f aca="false">L28*1.2</f>
        <v>839520</v>
      </c>
      <c r="P30" s="26"/>
      <c r="Q30" s="26"/>
    </row>
    <row r="31" customFormat="false" ht="12.75" hidden="true" customHeight="false" outlineLevel="0" collapsed="false">
      <c r="H31" s="16" t="s">
        <v>160</v>
      </c>
      <c r="L31" s="0"/>
      <c r="P31" s="26"/>
      <c r="Q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P32" s="26"/>
      <c r="Q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P33" s="26"/>
      <c r="Q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4</v>
      </c>
      <c r="L34" s="80" t="n">
        <f aca="false">+J34*K34</f>
        <v>193080.725</v>
      </c>
      <c r="P34" s="26"/>
      <c r="Q34" s="26"/>
    </row>
    <row r="35" customFormat="false" ht="12.75" hidden="true" customHeight="false" outlineLevel="0" collapsed="false">
      <c r="P35" s="26"/>
      <c r="Q35" s="26"/>
    </row>
    <row r="36" customFormat="false" ht="12.75" hidden="true" customHeight="false" outlineLevel="0" collapsed="false">
      <c r="P36" s="26"/>
      <c r="Q36" s="26"/>
    </row>
    <row r="37" customFormat="false" ht="12.75" hidden="true" customHeight="false" outlineLevel="0" collapsed="false">
      <c r="P37" s="26"/>
      <c r="Q37" s="26"/>
    </row>
    <row r="38" customFormat="false" ht="12.75" hidden="true" customHeight="false" outlineLevel="0" collapsed="false">
      <c r="P38" s="26"/>
      <c r="Q38" s="26"/>
    </row>
    <row r="39" customFormat="false" ht="12.75" hidden="false" customHeight="false" outlineLevel="0" collapsed="false">
      <c r="P39" s="26"/>
      <c r="Q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49" width="10.41"/>
    <col collapsed="false" customWidth="true" hidden="false" outlineLevel="0" max="12" min="12" style="49" width="10.85"/>
    <col collapsed="false" customWidth="true" hidden="false" outlineLevel="0" max="13" min="13" style="49" width="11.42"/>
  </cols>
  <sheetData>
    <row r="1" customFormat="false" ht="18" hidden="false" customHeight="false" outlineLevel="0" collapsed="false">
      <c r="B1" s="50" t="str">
        <f aca="false">'[23]Team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tr">
        <f aca="false">"IT EOL"</f>
        <v>IT EOL</v>
      </c>
      <c r="C2" s="50"/>
      <c r="D2" s="50"/>
      <c r="E2" s="50"/>
      <c r="F2" s="50"/>
      <c r="G2" s="50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J6" s="88"/>
      <c r="K6" s="80" t="s">
        <v>105</v>
      </c>
      <c r="L6" s="80" t="s">
        <v>106</v>
      </c>
      <c r="M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'[23]Team Report'!BA25</f>
        <v>10228335.79</v>
      </c>
      <c r="E8" s="64" t="n">
        <f aca="false">+C8/9*12</f>
        <v>13637781.0533333</v>
      </c>
      <c r="F8" s="64"/>
      <c r="G8" s="64" t="n">
        <f aca="false">SUM(M17:M28)+200000+100000</f>
        <v>5263200</v>
      </c>
      <c r="J8" s="88"/>
      <c r="M8" s="59"/>
      <c r="O8" s="64" t="n">
        <f aca="false">+G8/$G$29*$O$29</f>
        <v>119618.181818182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+C9/9*12</f>
        <v>0</v>
      </c>
      <c r="F9" s="64"/>
      <c r="G9" s="64" t="n">
        <f aca="false">+E9/9*12</f>
        <v>0</v>
      </c>
      <c r="J9" s="88" t="s">
        <v>116</v>
      </c>
      <c r="K9" s="49" t="n">
        <v>0</v>
      </c>
      <c r="L9" s="49" t="n">
        <f aca="false">L29+1</f>
        <v>44</v>
      </c>
      <c r="M9" s="59" t="n">
        <f aca="false">M33+M35</f>
        <v>6147840</v>
      </c>
      <c r="O9" s="64" t="n">
        <f aca="false">+G9/$G$29*$O$29</f>
        <v>0</v>
      </c>
    </row>
    <row r="10" customFormat="false" ht="12.75" hidden="false" customHeight="false" outlineLevel="0" collapsed="false">
      <c r="A10" s="62"/>
      <c r="B10" s="63" t="s">
        <v>225</v>
      </c>
      <c r="C10" s="64" t="n">
        <v>0</v>
      </c>
      <c r="E10" s="64" t="n">
        <f aca="false">+C10/9*12</f>
        <v>0</v>
      </c>
      <c r="F10" s="64"/>
      <c r="G10" s="64" t="n">
        <f aca="false">+E10/9*12</f>
        <v>0</v>
      </c>
      <c r="J10" s="88"/>
      <c r="M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'[23]Team Report'!BA26</f>
        <v>1877442.13</v>
      </c>
      <c r="E11" s="64" t="n">
        <f aca="false">+C11/9*12</f>
        <v>2503256.17333333</v>
      </c>
      <c r="F11" s="64"/>
      <c r="G11" s="64" t="n">
        <f aca="false">+G8*0.2</f>
        <v>1052640</v>
      </c>
      <c r="J11" s="88"/>
      <c r="M11" s="59"/>
      <c r="O11" s="64" t="n">
        <f aca="false">+G11/$G$29*$O$29</f>
        <v>23923.6363636364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'[23]Team Report'!BA27</f>
        <v>405632.98</v>
      </c>
      <c r="E12" s="64" t="n">
        <f aca="false">(+C12/9*12)*1.2</f>
        <v>649012.768</v>
      </c>
      <c r="F12" s="64"/>
      <c r="G12" s="123" t="n">
        <f aca="false">+$M$12*0.25+50000+250000</f>
        <v>544134</v>
      </c>
      <c r="J12" s="88" t="s">
        <v>78</v>
      </c>
      <c r="K12" s="49" t="n">
        <f aca="false">18495*1.2</f>
        <v>22194</v>
      </c>
      <c r="L12" s="49" t="n">
        <f aca="false">L29+1</f>
        <v>44</v>
      </c>
      <c r="M12" s="59" t="n">
        <f aca="false">K12*L12</f>
        <v>976536</v>
      </c>
      <c r="O12" s="64" t="n">
        <f aca="false">+G12/$G$29*$O$29</f>
        <v>12366.6818181818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'[23]Team Report'!BA28</f>
        <v>648740.17</v>
      </c>
      <c r="E13" s="64" t="n">
        <f aca="false">(+C13/9*12)*1.2</f>
        <v>1037984.272</v>
      </c>
      <c r="F13" s="64"/>
      <c r="G13" s="64" t="n">
        <f aca="false">+$M$12*0.13+200000</f>
        <v>326949.68</v>
      </c>
      <c r="J13" s="88"/>
      <c r="M13" s="59"/>
      <c r="O13" s="64" t="n">
        <f aca="false">+G13/$G$29*$O$29</f>
        <v>7430.67454545455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(+C14/9*12)*1.2</f>
        <v>0</v>
      </c>
      <c r="F14" s="64"/>
      <c r="G14" s="64" t="n">
        <v>0</v>
      </c>
      <c r="J14" s="93" t="s">
        <v>125</v>
      </c>
      <c r="K14" s="70"/>
      <c r="L14" s="70"/>
      <c r="M14" s="71" t="n">
        <f aca="false">SUM(M9:M12)</f>
        <v>7124376</v>
      </c>
      <c r="O14" s="64" t="n">
        <f aca="false">+G14/$G$29*$O$29</f>
        <v>0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'[23]Team Report'!BA33</f>
        <v>76876.32</v>
      </c>
      <c r="E15" s="64" t="n">
        <f aca="false">(+C15/9*12)*1.2</f>
        <v>123002.112</v>
      </c>
      <c r="F15" s="64"/>
      <c r="G15" s="64" t="n">
        <f aca="false">+$M$12*0.08+100000</f>
        <v>178122.88</v>
      </c>
      <c r="J15" s="26"/>
      <c r="O15" s="64" t="n">
        <f aca="false">+G15/$G$29*$O$29</f>
        <v>4048.24727272727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'[23]Team Report'!BA34</f>
        <v>0</v>
      </c>
      <c r="E16" s="64" t="n">
        <f aca="false">(+C16/9*12)*1.2</f>
        <v>0</v>
      </c>
      <c r="F16" s="64"/>
      <c r="G16" s="64" t="n">
        <v>0</v>
      </c>
      <c r="J16" s="26"/>
      <c r="L16" s="106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'[23]Team Report'!BA35</f>
        <v>0</v>
      </c>
      <c r="E17" s="64" t="n">
        <f aca="false">(+C17/9*12)*1.2</f>
        <v>0</v>
      </c>
      <c r="F17" s="64"/>
      <c r="G17" s="64" t="n">
        <v>0</v>
      </c>
      <c r="J17" s="0" t="s">
        <v>197</v>
      </c>
      <c r="K17" s="49" t="n">
        <v>49200</v>
      </c>
      <c r="L17" s="49" t="n">
        <v>0</v>
      </c>
      <c r="M17" s="49" t="n">
        <f aca="false">K17*L17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'[23]Team Report'!BA36</f>
        <v>5744.1</v>
      </c>
      <c r="E18" s="64" t="n">
        <f aca="false">(+C18/9*12)*1.2</f>
        <v>9190.56</v>
      </c>
      <c r="F18" s="64"/>
      <c r="G18" s="64" t="n">
        <v>0</v>
      </c>
      <c r="J18" s="0" t="s">
        <v>135</v>
      </c>
      <c r="K18" s="49" t="n">
        <v>57600</v>
      </c>
      <c r="L18" s="49" t="n">
        <v>2</v>
      </c>
      <c r="M18" s="49" t="n">
        <f aca="false">K18*L18</f>
        <v>115200</v>
      </c>
      <c r="O18" s="64" t="n">
        <f aca="false">+G18/$G$29*$O$29</f>
        <v>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'[23]Team Report'!BA37</f>
        <v>67058.6</v>
      </c>
      <c r="E19" s="64" t="n">
        <f aca="false">(+C19/9*12)*1.2</f>
        <v>107293.76</v>
      </c>
      <c r="F19" s="64"/>
      <c r="G19" s="64" t="n">
        <f aca="false">+$M$12*0.19+100000</f>
        <v>285541.84</v>
      </c>
      <c r="J19" s="0" t="s">
        <v>138</v>
      </c>
      <c r="K19" s="49" t="n">
        <v>60000</v>
      </c>
      <c r="L19" s="49" t="n">
        <v>2</v>
      </c>
      <c r="M19" s="49" t="n">
        <f aca="false">K19*L19</f>
        <v>120000</v>
      </c>
      <c r="O19" s="64" t="n">
        <f aca="false">+G19/$G$29*$O$29</f>
        <v>6489.58727272727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'[23]Team Report'!BA38</f>
        <v>0</v>
      </c>
      <c r="E20" s="64" t="n">
        <f aca="false">(+C20/9*12)*1.2</f>
        <v>0</v>
      </c>
      <c r="F20" s="64"/>
      <c r="G20" s="64" t="n">
        <v>0</v>
      </c>
      <c r="J20" s="0" t="s">
        <v>141</v>
      </c>
      <c r="K20" s="49" t="n">
        <v>78000</v>
      </c>
      <c r="L20" s="49" t="n">
        <v>15</v>
      </c>
      <c r="M20" s="49" t="n">
        <f aca="false">K20*L20</f>
        <v>1170000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'[23]Team Report'!BA42</f>
        <v>842429.76</v>
      </c>
      <c r="E21" s="64" t="n">
        <f aca="false">(+C21/9*12)*1.2</f>
        <v>1347887.616</v>
      </c>
      <c r="F21" s="64"/>
      <c r="G21" s="64" t="n">
        <f aca="false">+$M$12*0.15+141124+150000+687307</f>
        <v>1124911.4</v>
      </c>
      <c r="J21" s="0" t="s">
        <v>144</v>
      </c>
      <c r="K21" s="49" t="n">
        <v>102000</v>
      </c>
      <c r="L21" s="49" t="n">
        <v>8</v>
      </c>
      <c r="M21" s="49" t="n">
        <f aca="false">K21*L21</f>
        <v>816000</v>
      </c>
      <c r="O21" s="64" t="n">
        <f aca="false">+G21/$G$29*$O$29</f>
        <v>25566.1681818182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'[23]Team Report'!BA44</f>
        <v>6453.7</v>
      </c>
      <c r="E22" s="124" t="n">
        <f aca="false">(+C22/9*12)*1.2</f>
        <v>10325.92</v>
      </c>
      <c r="F22" s="64"/>
      <c r="G22" s="64" t="n">
        <v>0</v>
      </c>
      <c r="J22" s="0" t="s">
        <v>147</v>
      </c>
      <c r="K22" s="49" t="n">
        <v>0</v>
      </c>
      <c r="L22" s="49" t="n">
        <v>0</v>
      </c>
      <c r="M22" s="49" t="n">
        <f aca="false">K22*L22</f>
        <v>0</v>
      </c>
      <c r="O22" s="64" t="n">
        <f aca="false">+G22/$G$29*$O$29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19425734.2346667</v>
      </c>
      <c r="F23" s="76"/>
      <c r="G23" s="74" t="n">
        <f aca="false">SUM(G8:G22)</f>
        <v>8775499.8</v>
      </c>
      <c r="J23" s="0" t="s">
        <v>150</v>
      </c>
      <c r="K23" s="49" t="n">
        <v>0</v>
      </c>
      <c r="L23" s="49" t="n">
        <v>0</v>
      </c>
      <c r="M23" s="49" t="n">
        <f aca="false">K23*L23</f>
        <v>0</v>
      </c>
      <c r="O23" s="74" t="n">
        <f aca="false">SUM(O8:O22)</f>
        <v>199443.177272727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6</v>
      </c>
      <c r="M24" s="49" t="n">
        <f aca="false">K24*L24</f>
        <v>864000</v>
      </c>
    </row>
    <row r="25" customFormat="false" ht="12.75" hidden="false" customHeight="false" outlineLevel="0" collapsed="false">
      <c r="B25" s="73" t="s">
        <v>7</v>
      </c>
      <c r="C25" s="107"/>
      <c r="E25" s="107" t="n">
        <v>0</v>
      </c>
      <c r="F25" s="3" t="n">
        <v>40</v>
      </c>
      <c r="G25" s="108" t="n">
        <f aca="false">+L12</f>
        <v>44</v>
      </c>
      <c r="J25" s="0" t="s">
        <v>154</v>
      </c>
      <c r="K25" s="49" t="n">
        <v>168000</v>
      </c>
      <c r="L25" s="49" t="n">
        <v>6</v>
      </c>
      <c r="M25" s="49" t="n">
        <f aca="false">K25*L25</f>
        <v>1008000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155</v>
      </c>
      <c r="K26" s="49" t="n">
        <v>216000</v>
      </c>
      <c r="L26" s="49" t="n">
        <v>3</v>
      </c>
      <c r="M26" s="49" t="n">
        <f aca="false">K26*L26</f>
        <v>648000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3"/>
      <c r="G27" s="107"/>
      <c r="J27" s="0" t="s">
        <v>156</v>
      </c>
      <c r="K27" s="49" t="n">
        <v>222000</v>
      </c>
      <c r="L27" s="49" t="n">
        <v>1</v>
      </c>
      <c r="M27" s="49" t="n">
        <f aca="false">K27*L27</f>
        <v>222000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0</v>
      </c>
      <c r="F29" s="3"/>
      <c r="G29" s="107" t="n">
        <f aca="false">SUM(G25:G28)</f>
        <v>44</v>
      </c>
      <c r="L29" s="49" t="n">
        <f aca="false">SUM(L17:L28)</f>
        <v>43</v>
      </c>
      <c r="M29" s="49" t="n">
        <f aca="false">SUM(M17:M28)</f>
        <v>4963200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'[23]Team Report'!BA29</f>
        <v>-24140467.68</v>
      </c>
      <c r="E31" s="64" t="n">
        <v>0</v>
      </c>
      <c r="F31" s="64"/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'[23]Team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'[23]Team Report'!BA31</f>
        <v>0</v>
      </c>
      <c r="E33" s="64" t="n">
        <f aca="false">(C33/9)*12</f>
        <v>0</v>
      </c>
      <c r="F33" s="64"/>
      <c r="M33" s="49" t="n">
        <f aca="false">M29*1.2</f>
        <v>5955840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'[23]Team Report'!BA39</f>
        <v>0</v>
      </c>
      <c r="E34" s="64" t="n"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'[23]Team Report'!BA40</f>
        <v>164920.93</v>
      </c>
      <c r="E35" s="64" t="n">
        <v>0</v>
      </c>
      <c r="F35" s="64"/>
      <c r="J35" s="0" t="s">
        <v>306</v>
      </c>
      <c r="K35" s="49" t="n">
        <v>192000</v>
      </c>
      <c r="L35" s="49" t="n">
        <v>1</v>
      </c>
      <c r="M35" s="49" t="n">
        <f aca="false">K35*L35</f>
        <v>192000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'[23]Team Report'!BA41</f>
        <v>945381.27</v>
      </c>
      <c r="E36" s="64" t="n">
        <v>0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'[23]Team Report'!BA43</f>
        <v>-5121278.52</v>
      </c>
      <c r="E37" s="64" t="n">
        <v>0</v>
      </c>
      <c r="F37" s="64"/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'[23]Team Report'!BA45</f>
        <v>0</v>
      </c>
      <c r="E38" s="64" t="n">
        <f aca="false">(C38/9)*12</f>
        <v>0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0</v>
      </c>
      <c r="F39" s="64"/>
      <c r="I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102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49" width="10.41"/>
    <col collapsed="false" customWidth="true" hidden="true" outlineLevel="0" max="12" min="12" style="49" width="10.85"/>
    <col collapsed="false" customWidth="true" hidden="true" outlineLevel="0" max="13" min="13" style="4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50" t="str">
        <f aca="false">'[16]Team Report'!B1</f>
        <v>Enron North America</v>
      </c>
      <c r="C1" s="50"/>
      <c r="D1" s="50"/>
      <c r="E1" s="50"/>
      <c r="F1" s="50"/>
      <c r="G1" s="50"/>
      <c r="H1" s="52"/>
      <c r="I1" s="52"/>
      <c r="J1" s="52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307</v>
      </c>
      <c r="C2" s="50"/>
      <c r="D2" s="50"/>
      <c r="E2" s="50"/>
      <c r="F2" s="50"/>
      <c r="G2" s="50"/>
      <c r="H2" s="52"/>
      <c r="I2" s="52"/>
      <c r="J2" s="52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" hidden="false" customHeight="false" outlineLevel="0" collapsed="false">
      <c r="B3" s="50" t="s">
        <v>1</v>
      </c>
      <c r="C3" s="50"/>
      <c r="D3" s="50"/>
      <c r="E3" s="50"/>
      <c r="F3" s="50"/>
      <c r="G3" s="50"/>
      <c r="H3" s="54"/>
      <c r="I3" s="54"/>
      <c r="J3" s="54"/>
      <c r="K3" s="51"/>
      <c r="L3" s="51"/>
      <c r="M3" s="51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3.5" hidden="false" customHeight="false" outlineLevel="0" collapsed="false">
      <c r="J4" s="103"/>
      <c r="K4" s="103"/>
      <c r="L4" s="103"/>
      <c r="M4" s="103"/>
    </row>
    <row r="5" customFormat="false" ht="12.75" hidden="false" customHeight="false" outlineLevel="0" collapsed="false">
      <c r="J5" s="85"/>
      <c r="K5" s="56"/>
      <c r="L5" s="56"/>
      <c r="M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/>
      <c r="G6" s="100" t="n">
        <v>2002</v>
      </c>
      <c r="J6" s="88"/>
      <c r="K6" s="80" t="s">
        <v>105</v>
      </c>
      <c r="L6" s="80" t="s">
        <v>106</v>
      </c>
      <c r="M6" s="104" t="s">
        <v>223</v>
      </c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J7" s="88"/>
      <c r="M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105" t="n">
        <f aca="false">'[16]Team Report'!BA25</f>
        <v>10228335.79</v>
      </c>
      <c r="E8" s="64" t="n">
        <f aca="false">+C8/9*12</f>
        <v>13637781.0533333</v>
      </c>
      <c r="F8" s="64"/>
      <c r="G8" s="64" t="n">
        <f aca="false">+'IT Dev-EOL'!G8+'IT Infra'!H8</f>
        <v>28313280</v>
      </c>
      <c r="J8" s="88"/>
      <c r="M8" s="59"/>
      <c r="O8" s="64" t="n">
        <f aca="false">+G8/$G$29*$O$29</f>
        <v>142277.788944724</v>
      </c>
    </row>
    <row r="9" customFormat="false" ht="12.75" hidden="true" customHeight="false" outlineLevel="0" collapsed="false">
      <c r="A9" s="62"/>
      <c r="B9" s="63" t="s">
        <v>117</v>
      </c>
      <c r="C9" s="64" t="n">
        <v>0</v>
      </c>
      <c r="E9" s="64" t="n">
        <f aca="false">+C9/9*12</f>
        <v>0</v>
      </c>
      <c r="F9" s="64"/>
      <c r="G9" s="64" t="n">
        <f aca="false">+'IT Dev-EOL'!G9+'IT Infra'!H9</f>
        <v>0</v>
      </c>
      <c r="J9" s="88" t="s">
        <v>116</v>
      </c>
      <c r="K9" s="49" t="n">
        <v>0</v>
      </c>
      <c r="L9" s="49" t="n">
        <f aca="false">+L35</f>
        <v>140</v>
      </c>
      <c r="M9" s="59" t="n">
        <f aca="false">M35</f>
        <v>20197440</v>
      </c>
      <c r="O9" s="64" t="n">
        <f aca="false">+G9/$G$29*$O$29</f>
        <v>0</v>
      </c>
    </row>
    <row r="10" customFormat="false" ht="12.75" hidden="false" customHeight="false" outlineLevel="0" collapsed="false">
      <c r="A10" s="62"/>
      <c r="B10" s="63" t="s">
        <v>265</v>
      </c>
      <c r="C10" s="64" t="n">
        <v>0</v>
      </c>
      <c r="E10" s="64" t="n">
        <f aca="false">+C10/9*12</f>
        <v>0</v>
      </c>
      <c r="F10" s="64"/>
      <c r="G10" s="64" t="n">
        <f aca="false">+'IT Dev-EOL'!G10+'IT Infra'!H10</f>
        <v>0</v>
      </c>
      <c r="J10" s="88"/>
      <c r="M10" s="59"/>
      <c r="O10" s="64" t="n">
        <f aca="false">+G10/$G$29*$O$29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'[16]Team Report'!BA26</f>
        <v>1877442.13</v>
      </c>
      <c r="E11" s="64" t="n">
        <f aca="false">+C11/9*12</f>
        <v>2503256.17333333</v>
      </c>
      <c r="F11" s="64"/>
      <c r="G11" s="64" t="n">
        <f aca="false">+'IT Dev-EOL'!G11+'IT Infra'!H11</f>
        <v>6795187.2</v>
      </c>
      <c r="J11" s="88"/>
      <c r="M11" s="59"/>
      <c r="O11" s="64" t="n">
        <f aca="false">+G11/$G$29*$O$29</f>
        <v>34146.6693467337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'[16]Team Report'!BA27</f>
        <v>405632.98</v>
      </c>
      <c r="E12" s="64" t="n">
        <f aca="false">+C12/9*12</f>
        <v>540843.973333333</v>
      </c>
      <c r="F12" s="64"/>
      <c r="G12" s="64" t="n">
        <f aca="false">+'IT Dev-EOL'!G12+'IT Infra'!H12</f>
        <v>3901030.13724771</v>
      </c>
      <c r="J12" s="88" t="s">
        <v>78</v>
      </c>
      <c r="K12" s="49" t="n">
        <f aca="false">18495*1.2</f>
        <v>22194</v>
      </c>
      <c r="L12" s="49" t="n">
        <f aca="false">+L35</f>
        <v>140</v>
      </c>
      <c r="M12" s="59" t="n">
        <f aca="false">K12*L12</f>
        <v>3107160</v>
      </c>
      <c r="O12" s="64" t="n">
        <f aca="false">+G12/$G$29*$O$29</f>
        <v>19603.1665188327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'[16]Team Report'!BA28</f>
        <v>648740.17</v>
      </c>
      <c r="E13" s="64" t="n">
        <f aca="false">+C13/9*12</f>
        <v>864986.893333333</v>
      </c>
      <c r="F13" s="64"/>
      <c r="G13" s="64" t="n">
        <f aca="false">+'IT Dev-EOL'!G13+'IT Infra'!H13</f>
        <v>2324079.93688073</v>
      </c>
      <c r="J13" s="88"/>
      <c r="M13" s="59"/>
      <c r="O13" s="64" t="n">
        <f aca="false">+G13/$G$29*$O$29</f>
        <v>11678.793652667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v>0</v>
      </c>
      <c r="E14" s="64" t="n">
        <f aca="false">+C14/9*12</f>
        <v>0</v>
      </c>
      <c r="F14" s="64"/>
      <c r="G14" s="64" t="n">
        <f aca="false">+'IT Dev-EOL'!G14+'IT Infra'!H14</f>
        <v>2400000</v>
      </c>
      <c r="J14" s="93" t="s">
        <v>125</v>
      </c>
      <c r="K14" s="70"/>
      <c r="L14" s="70"/>
      <c r="M14" s="71" t="n">
        <f aca="false">SUM(M9:M12)</f>
        <v>23304600</v>
      </c>
      <c r="O14" s="64" t="n">
        <f aca="false">+G14/$G$29*$O$29</f>
        <v>12060.3015075377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'[16]Team Report'!BA33</f>
        <v>76876.32</v>
      </c>
      <c r="E15" s="64" t="n">
        <f aca="false">+C15/9*12</f>
        <v>102501.76</v>
      </c>
      <c r="F15" s="64"/>
      <c r="G15" s="64" t="n">
        <f aca="false">+'IT Dev-EOL'!G15+'IT Infra'!H15</f>
        <v>795168.457981651</v>
      </c>
      <c r="J15" s="26"/>
      <c r="O15" s="64" t="n">
        <f aca="false">+G15/$G$29*$O$29</f>
        <v>3995.82139689272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'[16]Team Report'!BA34</f>
        <v>0</v>
      </c>
      <c r="E16" s="64" t="n">
        <f aca="false">+C16/9*12</f>
        <v>0</v>
      </c>
      <c r="F16" s="64"/>
      <c r="G16" s="64" t="n">
        <f aca="false">+'IT Dev-EOL'!G16+'IT Infra'!H16</f>
        <v>0</v>
      </c>
      <c r="J16" s="26"/>
      <c r="L16" s="106"/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'[16]Team Report'!BA35</f>
        <v>0</v>
      </c>
      <c r="E17" s="64" t="n">
        <f aca="false">+C17/9*12</f>
        <v>0</v>
      </c>
      <c r="F17" s="64"/>
      <c r="G17" s="64" t="n">
        <f aca="false">+'IT Dev-EOL'!G17+'IT Infra'!H17</f>
        <v>0</v>
      </c>
      <c r="J17" s="0" t="s">
        <v>197</v>
      </c>
      <c r="K17" s="49" t="n">
        <v>49200</v>
      </c>
      <c r="L17" s="49" t="n">
        <f aca="false">+'IT Dev'!L17+'IT EOL'!L17</f>
        <v>0</v>
      </c>
      <c r="M17" s="49" t="n">
        <f aca="false">K17*L17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'[16]Team Report'!BA36</f>
        <v>5744.1</v>
      </c>
      <c r="E18" s="64" t="n">
        <f aca="false">+C18/9*12</f>
        <v>7658.8</v>
      </c>
      <c r="F18" s="64"/>
      <c r="G18" s="64" t="n">
        <f aca="false">+'IT Dev-EOL'!G18+'IT Infra'!H18</f>
        <v>2323200</v>
      </c>
      <c r="J18" s="0" t="s">
        <v>135</v>
      </c>
      <c r="K18" s="49" t="n">
        <v>57600</v>
      </c>
      <c r="L18" s="49" t="n">
        <v>2</v>
      </c>
      <c r="M18" s="49" t="n">
        <f aca="false">K18*L18</f>
        <v>115200</v>
      </c>
      <c r="O18" s="64" t="n">
        <f aca="false">+G18/$G$29*$O$29</f>
        <v>11674.3718592965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'[16]Team Report'!BA37</f>
        <v>67058.6</v>
      </c>
      <c r="E19" s="64" t="n">
        <f aca="false">+C19/9*12</f>
        <v>89411.4666666667</v>
      </c>
      <c r="F19" s="64"/>
      <c r="G19" s="64" t="n">
        <f aca="false">+'IT Dev-EOL'!G19+'IT Infra'!H19</f>
        <v>13019040.2157798</v>
      </c>
      <c r="J19" s="0" t="s">
        <v>138</v>
      </c>
      <c r="K19" s="49" t="n">
        <v>60000</v>
      </c>
      <c r="L19" s="49" t="n">
        <v>2</v>
      </c>
      <c r="M19" s="49" t="n">
        <f aca="false">K19*L19</f>
        <v>120000</v>
      </c>
      <c r="O19" s="64" t="n">
        <f aca="false">+G19/$G$29*$O$29</f>
        <v>65422.3126421096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'[16]Team Report'!BA38</f>
        <v>0</v>
      </c>
      <c r="E20" s="64" t="n">
        <f aca="false">+C20/9*12</f>
        <v>0</v>
      </c>
      <c r="F20" s="64"/>
      <c r="G20" s="64" t="n">
        <f aca="false">+'IT Dev-EOL'!G20+'IT Infra'!H20</f>
        <v>0</v>
      </c>
      <c r="J20" s="0" t="s">
        <v>141</v>
      </c>
      <c r="K20" s="49" t="n">
        <v>78000</v>
      </c>
      <c r="L20" s="49" t="n">
        <v>29</v>
      </c>
      <c r="M20" s="49" t="n">
        <f aca="false">K20*L20</f>
        <v>2262000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'[16]Team Report'!BA42</f>
        <v>842429.76</v>
      </c>
      <c r="E21" s="64" t="n">
        <f aca="false">+C21/9*12</f>
        <v>1123239.68</v>
      </c>
      <c r="F21" s="64"/>
      <c r="G21" s="64" t="n">
        <f aca="false">+'IT Dev-EOL'!G21+'IT Infra'!H21</f>
        <v>8590347.12</v>
      </c>
      <c r="J21" s="0" t="s">
        <v>144</v>
      </c>
      <c r="K21" s="49" t="n">
        <v>102000</v>
      </c>
      <c r="L21" s="49" t="n">
        <v>60</v>
      </c>
      <c r="M21" s="49" t="n">
        <f aca="false">K21*L21</f>
        <v>6120000</v>
      </c>
      <c r="O21" s="64" t="n">
        <f aca="false">+G21/$G$29*$O$29</f>
        <v>43167.5734673367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'[16]Team Report'!BA44</f>
        <v>6453.7</v>
      </c>
      <c r="E22" s="64" t="n">
        <f aca="false">+C22/9*12</f>
        <v>8604.93333333333</v>
      </c>
      <c r="F22" s="64"/>
      <c r="G22" s="64" t="n">
        <f aca="false">+'IT Dev-EOL'!G22+'IT Infra'!H22</f>
        <v>0</v>
      </c>
      <c r="J22" s="0" t="s">
        <v>270</v>
      </c>
      <c r="K22" s="49" t="n">
        <v>192000</v>
      </c>
      <c r="L22" s="49" t="n">
        <v>7</v>
      </c>
      <c r="M22" s="49" t="n">
        <f aca="false">K22*L22</f>
        <v>1344000</v>
      </c>
      <c r="O22" s="64" t="n">
        <f aca="false">+G22/$G$29*$O$29</f>
        <v>0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14158713.55</v>
      </c>
      <c r="E23" s="74" t="n">
        <f aca="false">SUM(E8:E22)</f>
        <v>18878284.7333333</v>
      </c>
      <c r="F23" s="76"/>
      <c r="G23" s="74" t="n">
        <f aca="false">SUM(G8:G22)</f>
        <v>68461333.0678899</v>
      </c>
      <c r="J23" s="0" t="s">
        <v>271</v>
      </c>
      <c r="K23" s="49" t="n">
        <v>192000</v>
      </c>
      <c r="L23" s="49" t="n">
        <f aca="false">3+1</f>
        <v>4</v>
      </c>
      <c r="M23" s="49" t="n">
        <f aca="false">K23*L23</f>
        <v>768000</v>
      </c>
      <c r="O23" s="74" t="n">
        <f aca="false">SUM(O8:O22)</f>
        <v>344026.79933613</v>
      </c>
    </row>
    <row r="24" customFormat="false" ht="12.75" hidden="false" customHeight="false" outlineLevel="0" collapsed="false">
      <c r="J24" s="0" t="s">
        <v>153</v>
      </c>
      <c r="K24" s="49" t="n">
        <v>144000</v>
      </c>
      <c r="L24" s="49" t="n">
        <v>16</v>
      </c>
      <c r="M24" s="49" t="n">
        <f aca="false">K24*L24</f>
        <v>2304000</v>
      </c>
    </row>
    <row r="25" customFormat="false" ht="12.75" hidden="false" customHeight="false" outlineLevel="0" collapsed="false">
      <c r="B25" s="73" t="s">
        <v>7</v>
      </c>
      <c r="C25" s="107"/>
      <c r="E25" s="107" t="n">
        <v>111</v>
      </c>
      <c r="F25" s="3" t="n">
        <v>40</v>
      </c>
      <c r="G25" s="108" t="n">
        <v>199</v>
      </c>
      <c r="J25" s="0" t="s">
        <v>154</v>
      </c>
      <c r="K25" s="49" t="n">
        <v>168000</v>
      </c>
      <c r="L25" s="49" t="n">
        <v>11</v>
      </c>
      <c r="M25" s="49" t="n">
        <f aca="false">K25*L25</f>
        <v>1848000</v>
      </c>
      <c r="O25" s="77" t="n">
        <f aca="false">SUM(U16:U20,U23:U27)</f>
        <v>0</v>
      </c>
    </row>
    <row r="26" customFormat="false" ht="12.75" hidden="false" customHeight="false" outlineLevel="0" collapsed="false">
      <c r="J26" s="0" t="s">
        <v>155</v>
      </c>
      <c r="K26" s="49" t="n">
        <v>216000</v>
      </c>
      <c r="L26" s="49" t="n">
        <v>8</v>
      </c>
      <c r="M26" s="49" t="n">
        <f aca="false">K26*L26</f>
        <v>1728000</v>
      </c>
      <c r="O26" s="64"/>
    </row>
    <row r="27" customFormat="false" ht="12.75" hidden="false" customHeight="false" outlineLevel="0" collapsed="false">
      <c r="B27" s="73" t="s">
        <v>157</v>
      </c>
      <c r="C27" s="107"/>
      <c r="E27" s="107"/>
      <c r="F27" s="3"/>
      <c r="G27" s="107"/>
      <c r="J27" s="0" t="s">
        <v>156</v>
      </c>
      <c r="K27" s="49" t="n">
        <v>222000</v>
      </c>
      <c r="L27" s="49" t="n">
        <v>1</v>
      </c>
      <c r="M27" s="49" t="n">
        <f aca="false">K27*L27</f>
        <v>222000</v>
      </c>
      <c r="O27" s="77" t="n">
        <f aca="false">+U21+U22</f>
        <v>0</v>
      </c>
    </row>
    <row r="28" customFormat="false" ht="12.75" hidden="false" customHeight="false" outlineLevel="0" collapsed="false">
      <c r="J28" s="0" t="s">
        <v>158</v>
      </c>
      <c r="K28" s="49" t="n">
        <v>300000</v>
      </c>
      <c r="L28" s="49" t="n">
        <f aca="false">+'IT Dev'!L28+'IT EOL'!L28</f>
        <v>0</v>
      </c>
      <c r="M28" s="49" t="n">
        <f aca="false">K28*L28</f>
        <v>0</v>
      </c>
    </row>
    <row r="29" customFormat="false" ht="12.75" hidden="false" customHeight="false" outlineLevel="0" collapsed="false">
      <c r="B29" s="73" t="s">
        <v>159</v>
      </c>
      <c r="C29" s="107"/>
      <c r="E29" s="107" t="n">
        <f aca="false">SUM(E25:E28)</f>
        <v>111</v>
      </c>
      <c r="F29" s="3"/>
      <c r="G29" s="107" t="n">
        <f aca="false">SUM(G25:G28)</f>
        <v>199</v>
      </c>
      <c r="L29" s="49" t="n">
        <f aca="false">SUM(L17:L28)</f>
        <v>140</v>
      </c>
      <c r="M29" s="49" t="n">
        <f aca="false">SUM(M17:M28)</f>
        <v>16831200</v>
      </c>
      <c r="O29" s="77" t="n">
        <v>1</v>
      </c>
    </row>
    <row r="30" customFormat="false" ht="12.75" hidden="false" customHeight="false" outlineLevel="0" collapsed="false">
      <c r="B30" s="73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'[16]Team Report'!BA29</f>
        <v>-24140467.68</v>
      </c>
      <c r="E31" s="64" t="n">
        <v>0</v>
      </c>
      <c r="F31" s="64"/>
      <c r="J31" s="0" t="s">
        <v>247</v>
      </c>
      <c r="L31" s="78"/>
      <c r="M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'[16]Team Report'!BA30</f>
        <v>0</v>
      </c>
      <c r="E32" s="64" t="n">
        <f aca="false">(C32/9)*12</f>
        <v>0</v>
      </c>
      <c r="F32" s="64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'[16]Team Report'!BA31</f>
        <v>0</v>
      </c>
      <c r="E33" s="64" t="n">
        <f aca="false">(C33/9)*12</f>
        <v>0</v>
      </c>
      <c r="F33" s="64"/>
      <c r="J33" s="0" t="s">
        <v>252</v>
      </c>
      <c r="K33" s="49" t="n">
        <v>160000</v>
      </c>
      <c r="L33" s="49" t="n">
        <v>0</v>
      </c>
      <c r="M33" s="49" t="n">
        <f aca="false">K33*L33</f>
        <v>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'[16]Team Report'!BA39</f>
        <v>0</v>
      </c>
      <c r="E34" s="64" t="n">
        <f aca="false">(C34/9)*12</f>
        <v>0</v>
      </c>
      <c r="F34" s="64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'[16]Team Report'!BA40</f>
        <v>164920.93</v>
      </c>
      <c r="E35" s="64" t="n">
        <v>0</v>
      </c>
      <c r="F35" s="64"/>
      <c r="L35" s="49" t="n">
        <f aca="false">+L29+L33</f>
        <v>140</v>
      </c>
      <c r="M35" s="49" t="n">
        <f aca="false">M29*1.2+M33</f>
        <v>20197440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'[16]Team Report'!BA41</f>
        <v>945381.27</v>
      </c>
      <c r="E36" s="64" t="n">
        <v>0</v>
      </c>
      <c r="F36" s="64"/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'[16]Team Report'!BA43</f>
        <v>-5121278.52</v>
      </c>
      <c r="E37" s="64" t="n">
        <v>0</v>
      </c>
      <c r="F37" s="64"/>
      <c r="I37" s="16" t="s">
        <v>160</v>
      </c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'[16]Team Report'!BA45</f>
        <v>0</v>
      </c>
      <c r="E38" s="64" t="n">
        <f aca="false">(C38/9)*12</f>
        <v>0</v>
      </c>
      <c r="F38" s="64"/>
    </row>
    <row r="39" customFormat="false" ht="12.75" hidden="true" customHeight="false" outlineLevel="0" collapsed="false">
      <c r="A39" s="62" t="s">
        <v>126</v>
      </c>
      <c r="B39" s="63" t="s">
        <v>127</v>
      </c>
      <c r="C39" s="64" t="n">
        <v>24143776.43</v>
      </c>
      <c r="E39" s="64" t="n">
        <v>0</v>
      </c>
      <c r="F39" s="64"/>
      <c r="I39" s="0" t="s">
        <v>253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102" t="n">
        <f aca="false">C23+C31+C32+C33+C34+C35+C36+C37+C38</f>
        <v>-13992730.45</v>
      </c>
    </row>
    <row r="46" customFormat="false" ht="12.75" hidden="false" customHeight="false" outlineLevel="0" collapsed="false">
      <c r="B46" s="63" t="s">
        <v>308</v>
      </c>
    </row>
    <row r="47" customFormat="false" ht="12.75" hidden="false" customHeight="false" outlineLevel="0" collapsed="false">
      <c r="B47" s="63"/>
    </row>
    <row r="48" customFormat="false" ht="12.75" hidden="false" customHeight="false" outlineLevel="0" collapsed="false">
      <c r="B48" s="6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249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+'Competitive Ana'!F8+'Gas - Fund'!H8+'East - Fund'!F8</f>
        <v>1316380</v>
      </c>
      <c r="I8" s="58" t="s">
        <v>116</v>
      </c>
      <c r="J8" s="49" t="n">
        <v>0</v>
      </c>
      <c r="L8" s="59" t="n">
        <f aca="false">L30</f>
        <v>2208096</v>
      </c>
      <c r="Q8" s="64" t="n">
        <f aca="false">+H8/$H$29*$Q$29</f>
        <v>50630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f aca="false">+'Competitive Ana'!F9+'Gas - Fund'!H9+'East - Fund'!F9</f>
        <v>0</v>
      </c>
      <c r="I9" s="58"/>
      <c r="L9" s="59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+'Competitive Ana'!F10+'Gas - Fund'!H10+'East - Fund'!F10</f>
        <v>1137500</v>
      </c>
      <c r="I10" s="58"/>
      <c r="L10" s="59"/>
      <c r="Q10" s="64" t="n">
        <f aca="false">+H10/$H$29*$Q$29</f>
        <v>43750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+'Competitive Ana'!F11+'Gas - Fund'!H11+'East - Fund'!F11</f>
        <v>490776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17</v>
      </c>
      <c r="L11" s="59" t="n">
        <f aca="false">J11*K11</f>
        <v>820593.08125</v>
      </c>
      <c r="Q11" s="64" t="n">
        <f aca="false">+H11/$H$29*$Q$29</f>
        <v>18876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+'Competitive Ana'!F12+'Gas - Fund'!H12+'East - Fund'!F12</f>
        <v>149533.479174265</v>
      </c>
      <c r="I12" s="58"/>
      <c r="L12" s="59"/>
      <c r="Q12" s="64" t="n">
        <f aca="false">+H12/$H$29*$Q$29</f>
        <v>5751.28766054867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+'Competitive Ana'!F13+'Gas - Fund'!H13+'East - Fund'!F13</f>
        <v>210573.79887386</v>
      </c>
      <c r="I13" s="69" t="s">
        <v>125</v>
      </c>
      <c r="J13" s="70"/>
      <c r="K13" s="70"/>
      <c r="L13" s="71" t="n">
        <f aca="false">L8+L11</f>
        <v>3028689.08125</v>
      </c>
      <c r="N13" s="49" t="n">
        <v>24109311.029375</v>
      </c>
      <c r="P13" s="66" t="n">
        <f aca="false">N13-L13</f>
        <v>21080621.948125</v>
      </c>
      <c r="Q13" s="64" t="n">
        <f aca="false">+H13/$H$29*$Q$29</f>
        <v>8098.99226437924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+'Competitive Ana'!F14+'Gas - Fund'!H14+'East - Fund'!F14</f>
        <v>1955600.00942857</v>
      </c>
      <c r="Q14" s="64" t="n">
        <f aca="false">+H14/$H$29*$Q$29</f>
        <v>75215.384978022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+'Competitive Ana'!F15+'Gas - Fund'!H15+'East - Fund'!F15</f>
        <v>26135.7059316109</v>
      </c>
      <c r="Q15" s="64" t="n">
        <f aca="false">+H15/$H$29*$Q$29</f>
        <v>1005.21945890811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+'Competitive Ana'!F16+'Gas - Fund'!H16+'East - Fund'!F16</f>
        <v>0</v>
      </c>
      <c r="I16" s="49" t="s">
        <v>132</v>
      </c>
      <c r="J16" s="49" t="n">
        <v>33000</v>
      </c>
      <c r="K16" s="49" t="n">
        <v>1</v>
      </c>
      <c r="L16" s="49" t="n">
        <f aca="false">J16*K16</f>
        <v>33000</v>
      </c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+'Competitive Ana'!F17+'Gas - Fund'!H17+'East - Fund'!F17</f>
        <v>1109.32624113475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 t="n">
        <f aca="false">+H17/$H$29*$Q$29</f>
        <v>42.6663938897981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+'Competitive Ana'!F18+'Gas - Fund'!H18+'East - Fund'!F18</f>
        <v>12773.5936033435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 t="n">
        <f aca="false">+H18/$H$29*$Q$29</f>
        <v>491.292061667056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+'Competitive Ana'!F19+'Gas - Fund'!H19+'East - Fund'!F19</f>
        <v>118934.137338399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 t="n">
        <f aca="false">+H19/$H$29*$Q$29</f>
        <v>4574.38989763074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+'Competitive Ana'!F20+'Gas - Fund'!H20+'East - Fund'!F20</f>
        <v>10.5023044579534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 t="n">
        <f aca="false">+H20/$H$29*$Q$29</f>
        <v>0.403934786844361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+'Competitive Ana'!F21+'Gas - Fund'!H21+'East - Fund'!F21</f>
        <v>122393.653076494</v>
      </c>
      <c r="I21" s="49" t="s">
        <v>147</v>
      </c>
      <c r="J21" s="49" t="n">
        <v>60500</v>
      </c>
      <c r="K21" s="49" t="n">
        <v>6</v>
      </c>
      <c r="L21" s="49" t="n">
        <f aca="false">J21*K21</f>
        <v>363000</v>
      </c>
      <c r="Q21" s="64" t="n">
        <f aca="false">+H21/$H$29*$Q$29</f>
        <v>4707.44819524978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+'Competitive Ana'!F22+'Gas - Fund'!H22+'East - Fund'!F22</f>
        <v>131310.92964843</v>
      </c>
      <c r="I22" s="49" t="s">
        <v>150</v>
      </c>
      <c r="J22" s="49" t="n">
        <v>89100</v>
      </c>
      <c r="K22" s="49" t="n">
        <v>4</v>
      </c>
      <c r="L22" s="49" t="n">
        <f aca="false">J22*K22</f>
        <v>356400</v>
      </c>
      <c r="Q22" s="64" t="n">
        <f aca="false">+H22/$H$29*$Q$29</f>
        <v>5050.42037109345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5673031.13562057</v>
      </c>
      <c r="I23" s="49" t="s">
        <v>153</v>
      </c>
      <c r="J23" s="49" t="n">
        <v>110000</v>
      </c>
      <c r="K23" s="49" t="n">
        <v>4</v>
      </c>
      <c r="L23" s="49" t="n">
        <f aca="false">J23*K23</f>
        <v>440000</v>
      </c>
      <c r="Q23" s="74" t="n">
        <f aca="false">SUM(Q8:Q22)</f>
        <v>218193.505216176</v>
      </c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+'Competitive Ana'!F25+'Gas - Fund'!H25+'East - Fund'!F25</f>
        <v>11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Q25" s="77" t="n">
        <f aca="false">+T16+T17+T18+T19+T20+T23+T24+T25+T26+T27</f>
        <v>0</v>
      </c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+'Competitive Ana'!F27+'Gas - Fund'!H27+'East - Fund'!F27</f>
        <v>15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49" t="n">
        <f aca="false">SUM(K16:K27)</f>
        <v>17</v>
      </c>
      <c r="L28" s="49" t="n">
        <f aca="false">SUM(L16:L27)*1.2</f>
        <v>1840080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26</v>
      </c>
      <c r="L29" s="78" t="n">
        <v>0.2</v>
      </c>
      <c r="Q29" s="77" t="n">
        <v>1</v>
      </c>
    </row>
    <row r="30" customFormat="false" ht="12.75" hidden="true" customHeight="false" outlineLevel="0" collapsed="false">
      <c r="L30" s="49" t="n">
        <f aca="false">L28*1.2</f>
        <v>2208096</v>
      </c>
    </row>
    <row r="31" customFormat="false" ht="12.75" hidden="true" customHeight="false" outlineLevel="0" collapsed="false">
      <c r="H31" s="16" t="s">
        <v>160</v>
      </c>
      <c r="L31" s="0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17</v>
      </c>
      <c r="L34" s="80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  <col collapsed="false" customWidth="false" hidden="true" outlineLevel="0" max="27" min="16" style="0" width="9.06"/>
  </cols>
  <sheetData>
    <row r="1" customFormat="false" ht="18" hidden="false" customHeight="false" outlineLevel="0" collapsed="false">
      <c r="B1" s="50" t="str">
        <f aca="false">'[24]Team Report'!B1</f>
        <v>Enron North America</v>
      </c>
      <c r="C1" s="50"/>
      <c r="D1" s="50"/>
      <c r="E1" s="50"/>
      <c r="F1" s="50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customFormat="false" ht="18" hidden="false" customHeight="false" outlineLevel="0" collapsed="false">
      <c r="B2" s="50" t="str">
        <f aca="false">'[24]Pull Sheet'!E9</f>
        <v>Competitive Analysis</v>
      </c>
      <c r="C2" s="50"/>
      <c r="D2" s="50"/>
      <c r="E2" s="50"/>
      <c r="F2" s="50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customFormat="false" ht="18" hidden="false" customHeight="false" outlineLevel="0" collapsed="false">
      <c r="B3" s="53" t="s">
        <v>1</v>
      </c>
      <c r="C3" s="53"/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customFormat="false" ht="13.5" hidden="false" customHeight="false" outlineLevel="0" collapsed="false"/>
    <row r="5" customFormat="false" ht="12.75" hidden="false" customHeight="false" outlineLevel="0" collapsed="false">
      <c r="I5" s="85"/>
      <c r="J5" s="56"/>
      <c r="K5" s="56"/>
      <c r="L5" s="57"/>
    </row>
    <row r="6" customFormat="false" ht="12.75" hidden="false" customHeight="false" outlineLevel="0" collapsed="false">
      <c r="C6" s="60" t="n">
        <v>37135</v>
      </c>
      <c r="E6" s="100" t="n">
        <v>2001</v>
      </c>
      <c r="F6" s="100" t="n">
        <v>2002</v>
      </c>
      <c r="I6" s="88"/>
      <c r="J6" s="80" t="s">
        <v>105</v>
      </c>
      <c r="K6" s="80" t="s">
        <v>106</v>
      </c>
      <c r="L6" s="104" t="s">
        <v>223</v>
      </c>
      <c r="O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G7" s="16"/>
      <c r="I7" s="88"/>
      <c r="J7" s="49"/>
      <c r="K7" s="49"/>
      <c r="L7" s="5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'[24]Team Report'!BA25</f>
        <v>1004954.44</v>
      </c>
      <c r="E8" s="64" t="n">
        <f aca="false">(C8/9)*12</f>
        <v>1339939.25333333</v>
      </c>
      <c r="F8" s="64" t="n">
        <f aca="false">L29</f>
        <v>406800</v>
      </c>
      <c r="I8" s="88"/>
      <c r="J8" s="49"/>
      <c r="K8" s="49"/>
      <c r="L8" s="59"/>
      <c r="O8" s="64" t="n">
        <f aca="false">+F8/$F$29*$O$29</f>
        <v>81360</v>
      </c>
    </row>
    <row r="9" customFormat="false" ht="12.75" hidden="true" customHeight="true" outlineLevel="0" collapsed="false">
      <c r="A9" s="62"/>
      <c r="B9" s="63" t="s">
        <v>117</v>
      </c>
      <c r="C9" s="64" t="n">
        <v>0</v>
      </c>
      <c r="E9" s="64" t="n">
        <f aca="false">(C9/9)*12</f>
        <v>0</v>
      </c>
      <c r="F9" s="64" t="n">
        <f aca="false">(D9/9)*12</f>
        <v>0</v>
      </c>
      <c r="I9" s="88" t="s">
        <v>116</v>
      </c>
      <c r="J9" s="49" t="n">
        <v>0</v>
      </c>
      <c r="K9" s="49" t="n">
        <f aca="false">K29</f>
        <v>5</v>
      </c>
      <c r="L9" s="59" t="n">
        <f aca="false">L33</f>
        <v>488160</v>
      </c>
      <c r="O9" s="64" t="n">
        <f aca="false">+F9/$F$29*$O$29</f>
        <v>0</v>
      </c>
    </row>
    <row r="10" customFormat="false" ht="12.75" hidden="true" customHeight="true" outlineLevel="0" collapsed="false">
      <c r="B10" s="63" t="s">
        <v>196</v>
      </c>
      <c r="C10" s="64" t="n">
        <v>0</v>
      </c>
      <c r="E10" s="64" t="n">
        <f aca="false">(C10/9)*12</f>
        <v>0</v>
      </c>
      <c r="F10" s="64" t="n">
        <f aca="false">(D10/9)*12</f>
        <v>0</v>
      </c>
      <c r="I10" s="88"/>
      <c r="J10" s="49"/>
      <c r="K10" s="49"/>
      <c r="L10" s="59"/>
      <c r="O10" s="64" t="n">
        <f aca="false">+F10/$F$29*$O$29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'[24]Team Report'!BA26</f>
        <v>241285.2</v>
      </c>
      <c r="E11" s="64" t="n">
        <f aca="false">(C11/9)*12</f>
        <v>321713.6</v>
      </c>
      <c r="F11" s="64" t="n">
        <f aca="false">L33-L29</f>
        <v>81360</v>
      </c>
      <c r="I11" s="88"/>
      <c r="J11" s="49"/>
      <c r="K11" s="49"/>
      <c r="L11" s="59"/>
      <c r="O11" s="64" t="n">
        <f aca="false">+F11/$F$29*$O$29</f>
        <v>16272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'[24]Team Report'!BA27</f>
        <v>64034.85</v>
      </c>
      <c r="E12" s="68" t="n">
        <f aca="false">((C12/9)*12)*1.25</f>
        <v>106724.75</v>
      </c>
      <c r="F12" s="64" t="n">
        <f aca="false">(E12/$E$29)*$F$29</f>
        <v>19057.9910714286</v>
      </c>
      <c r="I12" s="88" t="s">
        <v>78</v>
      </c>
      <c r="J12" s="49" t="n">
        <f aca="false">(E12+E13+E14+E15+E16+E17+E18+E19+E20+E21+E22)/E29</f>
        <v>29159.271</v>
      </c>
      <c r="K12" s="49" t="n">
        <f aca="false">K29</f>
        <v>5</v>
      </c>
      <c r="L12" s="59" t="n">
        <f aca="false">J12*K12</f>
        <v>145796.355</v>
      </c>
      <c r="O12" s="64" t="n">
        <f aca="false">+F12/$F$29*$O$29</f>
        <v>3811.59821428571</v>
      </c>
    </row>
    <row r="13" customFormat="false" ht="12.75" hidden="false" customHeight="false" outlineLevel="0" collapsed="false">
      <c r="A13" s="62" t="s">
        <v>123</v>
      </c>
      <c r="B13" s="63" t="s">
        <v>124</v>
      </c>
      <c r="C13" s="64" t="n">
        <f aca="false">'[24]Team Report'!BA28</f>
        <v>201286.6</v>
      </c>
      <c r="E13" s="68" t="n">
        <f aca="false">((C13/9)*12)*1.17</f>
        <v>314007.096</v>
      </c>
      <c r="F13" s="64" t="n">
        <f aca="false">(E13/$E$29)*$F$29+63927</f>
        <v>119999.695714286</v>
      </c>
      <c r="I13" s="88"/>
      <c r="J13" s="49"/>
      <c r="K13" s="49"/>
      <c r="L13" s="59"/>
      <c r="O13" s="64" t="n">
        <f aca="false">+F13/$F$29*$O$29</f>
        <v>23999.9391428571</v>
      </c>
    </row>
    <row r="14" customFormat="false" ht="13.5" hidden="false" customHeight="false" outlineLevel="0" collapsed="false">
      <c r="A14" s="62" t="s">
        <v>126</v>
      </c>
      <c r="B14" s="63" t="s">
        <v>127</v>
      </c>
      <c r="C14" s="64" t="n">
        <f aca="false">'[24]Team Report'!BA32-C39</f>
        <v>-0.0600000000558794</v>
      </c>
      <c r="E14" s="68" t="n">
        <f aca="false">((C14/9)*12)*1.3</f>
        <v>-0.104000000096858</v>
      </c>
      <c r="F14" s="64" t="n">
        <f aca="false">(E14/$E$29)*$F$29+480000</f>
        <v>479999.981428571</v>
      </c>
      <c r="I14" s="93" t="s">
        <v>125</v>
      </c>
      <c r="J14" s="70"/>
      <c r="K14" s="70"/>
      <c r="L14" s="71" t="n">
        <f aca="false">SUM(L9:L12)</f>
        <v>633956.355</v>
      </c>
      <c r="N14" s="49"/>
      <c r="O14" s="64" t="n">
        <f aca="false">+F14/$F$29*$O$29</f>
        <v>95999.9962857143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'[24]Team Report'!BA33</f>
        <v>21945.55</v>
      </c>
      <c r="E15" s="68" t="n">
        <f aca="false">((C15/9)*12)*1.25</f>
        <v>36575.9166666667</v>
      </c>
      <c r="F15" s="64" t="n">
        <f aca="false">(E15/$E$29)*$F$29</f>
        <v>6531.41369047619</v>
      </c>
      <c r="I15" s="26"/>
      <c r="J15" s="49"/>
      <c r="K15" s="49"/>
      <c r="L15" s="49"/>
      <c r="O15" s="64" t="n">
        <f aca="false">+F15/$F$29*$O$29</f>
        <v>1306.28273809524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'[24]Team Report'!BA34</f>
        <v>0</v>
      </c>
      <c r="E16" s="68" t="n">
        <f aca="false">((C16/9)*12)*1.3</f>
        <v>0</v>
      </c>
      <c r="F16" s="64" t="n">
        <f aca="false">(E16/$E$29)*$F$29</f>
        <v>0</v>
      </c>
      <c r="I16" s="26"/>
      <c r="J16" s="49"/>
      <c r="K16" s="49"/>
      <c r="L16" s="49"/>
      <c r="O16" s="64" t="n">
        <f aca="false">+F16/$F$29*$O$29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'[24]Team Report'!BA35</f>
        <v>0</v>
      </c>
      <c r="E17" s="68" t="n">
        <f aca="false">((C17/9)*12)*1.3</f>
        <v>0</v>
      </c>
      <c r="F17" s="64" t="n">
        <f aca="false">(E17/$E$29)*$F$29</f>
        <v>0</v>
      </c>
      <c r="I17" s="26" t="s">
        <v>197</v>
      </c>
      <c r="J17" s="49" t="n">
        <f aca="false">36000</f>
        <v>36000</v>
      </c>
      <c r="K17" s="49" t="n">
        <f aca="false">H17*J17</f>
        <v>0</v>
      </c>
      <c r="L17" s="49" t="n">
        <f aca="false">J17*K17</f>
        <v>0</v>
      </c>
      <c r="O17" s="64" t="n">
        <f aca="false">+F17/$F$29*$O$29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'[24]Team Report'!BA36</f>
        <v>837.87</v>
      </c>
      <c r="E18" s="68" t="n">
        <f aca="false">((C18/9)*12)*1.25</f>
        <v>1396.45</v>
      </c>
      <c r="F18" s="64" t="n">
        <f aca="false">(E18/$E$29)*$F$29</f>
        <v>249.366071428571</v>
      </c>
      <c r="I18" s="0" t="s">
        <v>256</v>
      </c>
      <c r="J18" s="49" t="n">
        <v>48000</v>
      </c>
      <c r="K18" s="49" t="n">
        <v>1</v>
      </c>
      <c r="L18" s="49" t="n">
        <f aca="false">J18*K18</f>
        <v>48000</v>
      </c>
      <c r="O18" s="64" t="n">
        <f aca="false">+F18/$F$29*$O$29</f>
        <v>49.8732142857143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'[24]Team Report'!BA37</f>
        <v>24222.35</v>
      </c>
      <c r="E19" s="68" t="n">
        <f aca="false">((C19/9)*12)*1.3</f>
        <v>41985.4066666667</v>
      </c>
      <c r="F19" s="64" t="n">
        <f aca="false">(E19/$E$29)*$F$29+60000</f>
        <v>67497.3940476191</v>
      </c>
      <c r="I19" s="0" t="s">
        <v>138</v>
      </c>
      <c r="J19" s="49" t="n">
        <v>49200</v>
      </c>
      <c r="K19" s="49" t="n">
        <v>0</v>
      </c>
      <c r="L19" s="49" t="n">
        <f aca="false">J19*K19</f>
        <v>0</v>
      </c>
      <c r="O19" s="64" t="n">
        <f aca="false">+F19/$F$29*$O$29</f>
        <v>13499.4788095238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'[24]Team Report'!BA38</f>
        <v>8.15</v>
      </c>
      <c r="E20" s="68" t="n">
        <f aca="false">((C20/9)*12)*1.25</f>
        <v>13.5833333333333</v>
      </c>
      <c r="F20" s="64" t="n">
        <f aca="false">(E20/$E$29)*$F$29</f>
        <v>2.42559523809524</v>
      </c>
      <c r="I20" s="0" t="s">
        <v>257</v>
      </c>
      <c r="J20" s="49" t="n">
        <v>57600</v>
      </c>
      <c r="K20" s="49" t="n">
        <v>0</v>
      </c>
      <c r="L20" s="49" t="n">
        <f aca="false">J20*K20</f>
        <v>0</v>
      </c>
      <c r="O20" s="64" t="n">
        <f aca="false">+F20/$F$29*$O$29</f>
        <v>0.485119047619048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'[24]Team Report'!BA42</f>
        <v>196834.1</v>
      </c>
      <c r="E21" s="68" t="n">
        <f aca="false">((C21/9)*12)*1.2</f>
        <v>314934.56</v>
      </c>
      <c r="F21" s="64" t="n">
        <f aca="false">(E21/$E$29)*$F$29</f>
        <v>56238.3142857143</v>
      </c>
      <c r="I21" s="0" t="s">
        <v>150</v>
      </c>
      <c r="J21" s="49" t="n">
        <v>72000</v>
      </c>
      <c r="K21" s="49" t="n">
        <v>0</v>
      </c>
      <c r="L21" s="49" t="n">
        <f aca="false">J21*K21</f>
        <v>0</v>
      </c>
      <c r="O21" s="64" t="n">
        <f aca="false">+F21/$F$29*$O$29</f>
        <v>11247.6628571429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'[24]Team Report'!BA44</f>
        <v>474.19</v>
      </c>
      <c r="E22" s="68" t="n">
        <f aca="false">((C22/9)*12)*1.3</f>
        <v>821.929333333333</v>
      </c>
      <c r="F22" s="64" t="n">
        <f aca="false">(E22/$E$29)*$F$29</f>
        <v>146.773095238095</v>
      </c>
      <c r="I22" s="0" t="s">
        <v>141</v>
      </c>
      <c r="J22" s="49" t="n">
        <v>62400</v>
      </c>
      <c r="K22" s="49" t="n">
        <v>0</v>
      </c>
      <c r="L22" s="49" t="n">
        <f aca="false">J22*K22</f>
        <v>0</v>
      </c>
      <c r="O22" s="64" t="n">
        <f aca="false">+F22/$F$29*$O$29</f>
        <v>29.354619047619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1755883.24</v>
      </c>
      <c r="E23" s="74" t="n">
        <f aca="false">SUM(E8:E22)</f>
        <v>2478112.44133333</v>
      </c>
      <c r="F23" s="74" t="n">
        <f aca="false">SUM(F8:F22)</f>
        <v>1237883.355</v>
      </c>
      <c r="I23" s="0" t="s">
        <v>289</v>
      </c>
      <c r="J23" s="49" t="n">
        <v>74400</v>
      </c>
      <c r="K23" s="49" t="n">
        <v>2</v>
      </c>
      <c r="L23" s="49" t="n">
        <f aca="false">J23*K23</f>
        <v>148800</v>
      </c>
      <c r="O23" s="96" t="n">
        <f aca="false">SUM(O8:O22)</f>
        <v>247576.671</v>
      </c>
    </row>
    <row r="24" customFormat="false" ht="12.75" hidden="false" customHeight="false" outlineLevel="0" collapsed="false">
      <c r="I24" s="0" t="s">
        <v>259</v>
      </c>
      <c r="J24" s="49" t="n">
        <v>90000</v>
      </c>
      <c r="K24" s="49" t="n">
        <v>1</v>
      </c>
      <c r="L24" s="49" t="n">
        <f aca="false">J24*K24</f>
        <v>90000</v>
      </c>
    </row>
    <row r="25" customFormat="false" ht="12.75" hidden="false" customHeight="false" outlineLevel="0" collapsed="false">
      <c r="B25" s="73" t="s">
        <v>7</v>
      </c>
      <c r="C25" s="64"/>
      <c r="E25" s="77" t="n">
        <v>28</v>
      </c>
      <c r="F25" s="77" t="n">
        <f aca="false">+K29</f>
        <v>5</v>
      </c>
      <c r="I25" s="0" t="s">
        <v>260</v>
      </c>
      <c r="J25" s="49" t="n">
        <v>120000</v>
      </c>
      <c r="K25" s="49" t="n">
        <v>1</v>
      </c>
      <c r="L25" s="49" t="n">
        <f aca="false">J25*K25</f>
        <v>120000</v>
      </c>
      <c r="O25" s="77" t="n">
        <f aca="false">SUM(U16:U20,U23:U27)</f>
        <v>0</v>
      </c>
    </row>
    <row r="26" customFormat="false" ht="12.75" hidden="false" customHeight="false" outlineLevel="0" collapsed="false">
      <c r="C26" s="64"/>
      <c r="E26" s="64"/>
      <c r="F26" s="64"/>
      <c r="I26" s="0" t="s">
        <v>290</v>
      </c>
      <c r="J26" s="49" t="n">
        <v>178800</v>
      </c>
      <c r="K26" s="49" t="n">
        <v>0</v>
      </c>
      <c r="L26" s="49" t="n">
        <f aca="false">J26*K26</f>
        <v>0</v>
      </c>
      <c r="O26" s="64"/>
    </row>
    <row r="27" customFormat="false" ht="12.75" hidden="false" customHeight="false" outlineLevel="0" collapsed="false">
      <c r="B27" s="73" t="s">
        <v>251</v>
      </c>
      <c r="C27" s="64"/>
      <c r="E27" s="77" t="n">
        <v>0</v>
      </c>
      <c r="F27" s="77" t="n">
        <v>0</v>
      </c>
      <c r="I27" s="0" t="s">
        <v>262</v>
      </c>
      <c r="J27" s="49" t="n">
        <v>216000</v>
      </c>
      <c r="K27" s="49" t="n">
        <v>0</v>
      </c>
      <c r="L27" s="49" t="n">
        <f aca="false">J27*K27</f>
        <v>0</v>
      </c>
      <c r="O27" s="77" t="n">
        <f aca="false">SUM(U21:U22)</f>
        <v>0</v>
      </c>
    </row>
    <row r="28" customFormat="false" ht="12.75" hidden="false" customHeight="false" outlineLevel="0" collapsed="false">
      <c r="I28" s="0" t="s">
        <v>263</v>
      </c>
      <c r="J28" s="49" t="n">
        <v>312000</v>
      </c>
      <c r="K28" s="49" t="n">
        <f aca="false">H27*J28</f>
        <v>0</v>
      </c>
      <c r="L28" s="49" t="n">
        <f aca="false">J28*K28</f>
        <v>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28</v>
      </c>
      <c r="F29" s="77" t="n">
        <f aca="false">+F27+F25</f>
        <v>5</v>
      </c>
      <c r="G29" s="49"/>
      <c r="J29" s="49"/>
      <c r="K29" s="49" t="n">
        <f aca="false">SUM(K17:K28)</f>
        <v>5</v>
      </c>
      <c r="L29" s="49" t="n">
        <f aca="false">SUM(L17:L28)</f>
        <v>406800</v>
      </c>
      <c r="O29" s="77" t="n">
        <v>1</v>
      </c>
    </row>
    <row r="30" customFormat="false" ht="12.75" hidden="false" customHeight="false" outlineLevel="0" collapsed="false">
      <c r="J30" s="49"/>
      <c r="K30" s="49"/>
      <c r="L30" s="49"/>
    </row>
    <row r="31" customFormat="false" ht="12.75" hidden="true" customHeight="false" outlineLevel="0" collapsed="false">
      <c r="A31" s="62" t="s">
        <v>213</v>
      </c>
      <c r="B31" s="63" t="s">
        <v>227</v>
      </c>
      <c r="C31" s="64" t="n">
        <f aca="false">'[24]Team Report'!BA29</f>
        <v>0</v>
      </c>
      <c r="E31" s="64" t="n">
        <f aca="false">(C31/9)*12</f>
        <v>0</v>
      </c>
      <c r="I31" s="0" t="s">
        <v>247</v>
      </c>
      <c r="J31" s="49"/>
      <c r="K31" s="78"/>
      <c r="L31" s="78" t="n">
        <v>0.2</v>
      </c>
    </row>
    <row r="32" customFormat="false" ht="12.75" hidden="true" customHeight="false" outlineLevel="0" collapsed="false">
      <c r="A32" s="62" t="s">
        <v>215</v>
      </c>
      <c r="B32" s="63" t="s">
        <v>228</v>
      </c>
      <c r="C32" s="64" t="n">
        <f aca="false">'[24]Team Report'!BA30</f>
        <v>0</v>
      </c>
      <c r="E32" s="64" t="n">
        <f aca="false">(C32/9)*12</f>
        <v>0</v>
      </c>
      <c r="J32" s="49"/>
      <c r="K32" s="49"/>
      <c r="L32" s="49"/>
    </row>
    <row r="33" customFormat="false" ht="12.75" hidden="true" customHeight="false" outlineLevel="0" collapsed="false">
      <c r="A33" s="62" t="s">
        <v>216</v>
      </c>
      <c r="B33" s="63" t="s">
        <v>229</v>
      </c>
      <c r="C33" s="64" t="n">
        <f aca="false">'[24]Team Report'!BA31</f>
        <v>0</v>
      </c>
      <c r="E33" s="64" t="n">
        <f aca="false">(C33/9)*12</f>
        <v>0</v>
      </c>
      <c r="J33" s="49"/>
      <c r="K33" s="49"/>
      <c r="L33" s="49" t="n">
        <f aca="false">L29*1.2</f>
        <v>488160</v>
      </c>
    </row>
    <row r="34" customFormat="false" ht="12.75" hidden="true" customHeight="false" outlineLevel="0" collapsed="false">
      <c r="A34" s="62" t="s">
        <v>217</v>
      </c>
      <c r="B34" s="63" t="s">
        <v>230</v>
      </c>
      <c r="C34" s="64" t="n">
        <f aca="false">'[24]Team Report'!BA39</f>
        <v>0</v>
      </c>
      <c r="E34" s="64" t="n">
        <f aca="false">(C34/9)*12</f>
        <v>0</v>
      </c>
      <c r="J34" s="49"/>
      <c r="K34" s="49"/>
      <c r="L34" s="49"/>
    </row>
    <row r="35" customFormat="false" ht="12.75" hidden="true" customHeight="false" outlineLevel="0" collapsed="false">
      <c r="A35" s="62" t="s">
        <v>218</v>
      </c>
      <c r="B35" s="63" t="s">
        <v>231</v>
      </c>
      <c r="C35" s="64" t="n">
        <f aca="false">'[24]Team Report'!BA40</f>
        <v>155543.13</v>
      </c>
      <c r="E35" s="64" t="n">
        <f aca="false">(C35/9)*12</f>
        <v>207390.84</v>
      </c>
    </row>
    <row r="36" customFormat="false" ht="12.75" hidden="true" customHeight="false" outlineLevel="0" collapsed="false">
      <c r="A36" s="62" t="s">
        <v>219</v>
      </c>
      <c r="B36" s="63" t="s">
        <v>232</v>
      </c>
      <c r="C36" s="64" t="n">
        <f aca="false">'[24]Team Report'!BA41</f>
        <v>132051.71</v>
      </c>
      <c r="E36" s="64" t="n">
        <f aca="false">(C36/9)*12</f>
        <v>176068.946666667</v>
      </c>
    </row>
    <row r="37" customFormat="false" ht="12.75" hidden="true" customHeight="false" outlineLevel="0" collapsed="false">
      <c r="A37" s="62" t="s">
        <v>220</v>
      </c>
      <c r="B37" s="63" t="s">
        <v>233</v>
      </c>
      <c r="C37" s="64" t="n">
        <f aca="false">'[24]Team Report'!BA43</f>
        <v>-1900070.79</v>
      </c>
      <c r="E37" s="64" t="n">
        <f aca="false">(C37/9)*12</f>
        <v>-2533427.72</v>
      </c>
      <c r="G37" s="16" t="s">
        <v>160</v>
      </c>
      <c r="I37" s="49"/>
      <c r="J37" s="49"/>
      <c r="K37" s="49"/>
    </row>
    <row r="38" customFormat="false" ht="12.75" hidden="true" customHeight="false" outlineLevel="0" collapsed="false">
      <c r="A38" s="62" t="s">
        <v>221</v>
      </c>
      <c r="B38" s="63" t="s">
        <v>234</v>
      </c>
      <c r="C38" s="64" t="n">
        <f aca="false">'[24]Team Report'!BA45</f>
        <v>0</v>
      </c>
      <c r="E38" s="64" t="n">
        <f aca="false">(C38/9)*12</f>
        <v>0</v>
      </c>
      <c r="I38" s="49"/>
      <c r="J38" s="49"/>
      <c r="K38" s="49"/>
    </row>
    <row r="39" customFormat="false" ht="12.75" hidden="true" customHeight="false" outlineLevel="0" collapsed="false">
      <c r="B39" s="63" t="s">
        <v>127</v>
      </c>
      <c r="C39" s="64" t="n">
        <v>1140923</v>
      </c>
      <c r="E39" s="64"/>
      <c r="G39" s="79" t="s">
        <v>161</v>
      </c>
      <c r="I39" s="80" t="s">
        <v>162</v>
      </c>
      <c r="J39" s="80" t="s">
        <v>163</v>
      </c>
      <c r="K39" s="80" t="s">
        <v>106</v>
      </c>
      <c r="L39" s="80" t="s">
        <v>164</v>
      </c>
    </row>
    <row r="40" customFormat="false" ht="12.75" hidden="true" customHeight="false" outlineLevel="0" collapsed="false">
      <c r="B40" s="63"/>
      <c r="G40" s="81" t="n">
        <f aca="false">SUM(E12:E22)</f>
        <v>816459.588</v>
      </c>
      <c r="I40" s="109" t="n">
        <f aca="false">+E29</f>
        <v>28</v>
      </c>
      <c r="J40" s="80" t="n">
        <f aca="false">+G40/I40</f>
        <v>29159.271</v>
      </c>
      <c r="K40" s="109" t="n">
        <f aca="false">+K12</f>
        <v>5</v>
      </c>
      <c r="L40" s="80" t="n">
        <f aca="false">+J40*K40</f>
        <v>145796.355</v>
      </c>
    </row>
    <row r="41" customFormat="false" ht="12.75" hidden="true" customHeight="false" outlineLevel="0" collapsed="false">
      <c r="C41" s="102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52" min="18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309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L28-H10</f>
        <v>591580</v>
      </c>
      <c r="I8" s="58" t="s">
        <v>116</v>
      </c>
      <c r="J8" s="49" t="n">
        <v>0</v>
      </c>
      <c r="L8" s="59" t="n">
        <f aca="false">L30</f>
        <v>1645776</v>
      </c>
      <c r="Q8" s="64" t="n">
        <f aca="false">+H8/$H$29*$Q$29</f>
        <v>42255.7142857143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779900</v>
      </c>
      <c r="I10" s="58"/>
      <c r="L10" s="59"/>
      <c r="Q10" s="64" t="n">
        <f aca="false">+H10/$H$29*$Q$29</f>
        <v>55707.1428571429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L30-L28</f>
        <v>274296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14</v>
      </c>
      <c r="L11" s="59" t="n">
        <f aca="false">J11*K11</f>
        <v>675782.5375</v>
      </c>
      <c r="Q11" s="64" t="n">
        <f aca="false">+H11/$H$29*$Q$29</f>
        <v>19592.5714285714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86274.6325</v>
      </c>
      <c r="I12" s="58"/>
      <c r="L12" s="59"/>
      <c r="Q12" s="64" t="n">
        <f aca="false">+H12/$H$29*$Q$29</f>
        <v>6162.47375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(E13/$E$29)*$K$11-66789</f>
        <v>10000.3968333333</v>
      </c>
      <c r="I13" s="69" t="s">
        <v>125</v>
      </c>
      <c r="J13" s="70"/>
      <c r="K13" s="70"/>
      <c r="L13" s="71" t="n">
        <f aca="false">L8+L11</f>
        <v>2321558.5375</v>
      </c>
      <c r="N13" s="49" t="n">
        <v>24109311.029375</v>
      </c>
      <c r="P13" s="66" t="n">
        <f aca="false">N13-L13</f>
        <v>21787752.491875</v>
      </c>
      <c r="Q13" s="64" t="n">
        <f aca="false">+H13/$H$29*$Q$29</f>
        <v>714.31405952381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(E14/$E$29)*$K$11+180000+250000+6600+9000+30000</f>
        <v>475600.028</v>
      </c>
      <c r="Q14" s="64" t="n">
        <f aca="false">+H14/$H$29*$Q$29</f>
        <v>33971.4305714286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12199.0166666667</v>
      </c>
      <c r="Q15" s="64" t="n">
        <f aca="false">+H15/$H$29*$Q$29</f>
        <v>871.358333333333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v>0</v>
      </c>
      <c r="L16" s="49" t="n">
        <f aca="false">J16*K16</f>
        <v>0</v>
      </c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688.333333333333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 t="n">
        <f aca="false">+H17/$H$29*$Q$29</f>
        <v>49.1666666666667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12501.4073333333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 t="n">
        <f aca="false">+H18/$H$29*$Q$29</f>
        <v>892.957666666667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12741.204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 t="n">
        <f aca="false">+H19/$H$29*$Q$29</f>
        <v>910.086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1.86666666666667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 t="n">
        <f aca="false">+H20/$H$29*$Q$29</f>
        <v>0.133333333333333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15842.0395</v>
      </c>
      <c r="I21" s="49" t="s">
        <v>147</v>
      </c>
      <c r="J21" s="49" t="n">
        <v>60500</v>
      </c>
      <c r="K21" s="49" t="n">
        <v>7</v>
      </c>
      <c r="L21" s="49" t="n">
        <f aca="false">J21*K21</f>
        <v>423500</v>
      </c>
      <c r="Q21" s="64" t="n">
        <f aca="false">+H21/$H$29*$Q$29</f>
        <v>1131.57425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(E22/$E$29)*$K$11-327675</f>
        <v>131069.612666667</v>
      </c>
      <c r="I22" s="49" t="s">
        <v>150</v>
      </c>
      <c r="J22" s="49" t="n">
        <v>89100</v>
      </c>
      <c r="K22" s="49" t="n">
        <v>4</v>
      </c>
      <c r="L22" s="49" t="n">
        <f aca="false">J22*K22</f>
        <v>356400</v>
      </c>
      <c r="Q22" s="64" t="n">
        <f aca="false">+H22/$H$29*$Q$29</f>
        <v>9362.11519047621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2402694.5375</v>
      </c>
      <c r="I23" s="49" t="s">
        <v>153</v>
      </c>
      <c r="J23" s="49" t="n">
        <v>110000</v>
      </c>
      <c r="K23" s="49" t="n">
        <v>2</v>
      </c>
      <c r="L23" s="49" t="n">
        <f aca="false">J23*K23</f>
        <v>220000</v>
      </c>
      <c r="Q23" s="74" t="n">
        <f aca="false">SUM(Q8:Q22)</f>
        <v>171621.038392857</v>
      </c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1</v>
      </c>
      <c r="L24" s="49" t="n">
        <f aca="false">J24*K24</f>
        <v>143000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3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Q25" s="77" t="n">
        <v>1</v>
      </c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11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49" t="n">
        <f aca="false">SUM(K16:K27)</f>
        <v>14</v>
      </c>
      <c r="L28" s="49" t="n">
        <f aca="false">SUM(L16:L27)*1.2</f>
        <v>1371480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14</v>
      </c>
      <c r="L29" s="78" t="n">
        <v>0.2</v>
      </c>
      <c r="Q29" s="77" t="n">
        <f aca="false">SUM(Q25:Q27)</f>
        <v>1</v>
      </c>
    </row>
    <row r="30" customFormat="false" ht="12.75" hidden="true" customHeight="false" outlineLevel="0" collapsed="false">
      <c r="L30" s="49" t="n">
        <f aca="false">L28*1.2</f>
        <v>1645776</v>
      </c>
    </row>
    <row r="31" customFormat="false" ht="12.75" hidden="true" customHeight="false" outlineLevel="0" collapsed="false">
      <c r="H31" s="16" t="s">
        <v>160</v>
      </c>
      <c r="L31" s="0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14</v>
      </c>
      <c r="L34" s="80" t="n">
        <f aca="false">+J34*K34</f>
        <v>675782.5375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310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N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N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M16+M17+M18+M19+M20+M23+M24+M26</f>
        <v>318000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810720</v>
      </c>
      <c r="N8" s="64" t="n">
        <f aca="false">+F8/$F$29*$N$29</f>
        <v>45428.5714285714</v>
      </c>
    </row>
    <row r="9" customFormat="false" ht="12.75" hidden="fals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/>
      <c r="H9" s="91" t="n">
        <f aca="false">E9/$E$23</f>
        <v>0.0716886497316311</v>
      </c>
      <c r="J9" s="88"/>
      <c r="K9" s="26"/>
      <c r="L9" s="26"/>
      <c r="M9" s="89"/>
      <c r="N9" s="64" t="n">
        <f aca="false">+F9/$F$29*$N$29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M21+M22</f>
        <v>357600</v>
      </c>
      <c r="H10" s="91" t="n">
        <f aca="false">E10/$E$23</f>
        <v>0.173657406666346</v>
      </c>
      <c r="J10" s="88"/>
      <c r="K10" s="26"/>
      <c r="L10" s="26"/>
      <c r="M10" s="89"/>
      <c r="N10" s="64" t="n">
        <f aca="false">+F10/$F$29*$N$29</f>
        <v>51085.7142857143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M28*0.2</f>
        <v>135120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7</v>
      </c>
      <c r="M11" s="92" t="n">
        <f aca="false">K11*L11</f>
        <v>221733.273304964</v>
      </c>
      <c r="N11" s="64" t="n">
        <f aca="false">+F11/$F$29*$N$29</f>
        <v>19302.8571428571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E12/$E$29*$L$11</f>
        <v>44200.8556028369</v>
      </c>
      <c r="H12" s="91" t="n">
        <f aca="false">E12/$E$23</f>
        <v>0.0437168934810347</v>
      </c>
      <c r="J12" s="88"/>
      <c r="K12" s="26"/>
      <c r="L12" s="26"/>
      <c r="M12" s="89"/>
      <c r="N12" s="64" t="n">
        <f aca="false">+F12/$F$29*$N$29</f>
        <v>6314.40794326241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E13/$E$29*$L$11</f>
        <v>80573.7063262411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1032453.27330496</v>
      </c>
      <c r="N13" s="64" t="n">
        <f aca="false">+F13/$F$29*$N$29</f>
        <v>11510.5294751773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v>1000000</v>
      </c>
      <c r="H14" s="91" t="n">
        <f aca="false">E14/$E$23</f>
        <v>2.98539034593965E-008</v>
      </c>
      <c r="N14" s="64" t="n">
        <f aca="false">+F14/$F$29*$N$29</f>
        <v>142857.142857143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E15/$E$29*$L$11</f>
        <v>7405.27557446808</v>
      </c>
      <c r="H15" s="91" t="n">
        <f aca="false">E15/$E$23</f>
        <v>0.00732419404718382</v>
      </c>
      <c r="K15" s="49"/>
      <c r="N15" s="64" t="n">
        <f aca="false">+F15/$F$29*$N$29</f>
        <v>1057.8965106383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E16/$E$29*$L$11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49" t="n">
        <f aca="false">K16*L16</f>
        <v>0</v>
      </c>
      <c r="N16" s="64" t="n">
        <f aca="false">+F16/$F$29*$N$29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E17/$E$29*$L$11</f>
        <v>420.992907801418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49" t="n">
        <f aca="false">K17*L17</f>
        <v>0</v>
      </c>
      <c r="N17" s="64" t="n">
        <f aca="false">+F17/$F$29*$N$29</f>
        <v>60.1418439716312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E18/$E$29*$L$11</f>
        <v>22.82019858156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49" t="n">
        <f aca="false">K18*L18</f>
        <v>0</v>
      </c>
      <c r="N18" s="64" t="n">
        <f aca="false">+F18/$F$29*$N$29</f>
        <v>3.26002836879429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E19/$E$29*$L$11</f>
        <v>38695.5392907801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49" t="n">
        <f aca="false">K19*L19</f>
        <v>0</v>
      </c>
      <c r="N19" s="64" t="n">
        <f aca="false">+F19/$F$29*$N$29</f>
        <v>5527.93418439716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f aca="false">E20/$E$29*$L$11</f>
        <v>6.21004255319149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v>1</v>
      </c>
      <c r="M20" s="49" t="n">
        <f aca="false">K20*L20</f>
        <v>78000</v>
      </c>
      <c r="N20" s="64" t="n">
        <f aca="false">+F20/$F$29*$N$29</f>
        <v>0.887148936170213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E21/$E$29*$L$11</f>
        <v>50313.2992907801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v>1</v>
      </c>
      <c r="M21" s="49" t="n">
        <f aca="false">K21*L21</f>
        <v>66000</v>
      </c>
      <c r="N21" s="64" t="n">
        <f aca="false">+F21/$F$29*$N$29</f>
        <v>7187.61418439716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E22/$E$29*$L$11</f>
        <v>94.5438865248227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v>3</v>
      </c>
      <c r="M22" s="49" t="n">
        <f aca="false">K22*L22</f>
        <v>291600</v>
      </c>
      <c r="N22" s="64" t="n">
        <f aca="false">+F22/$F$29*$N$29</f>
        <v>13.5062695035461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2032453.24312057</v>
      </c>
      <c r="H23" s="97" t="n">
        <f aca="false">SUM(H8:H22)</f>
        <v>1</v>
      </c>
      <c r="J23" s="0" t="s">
        <v>153</v>
      </c>
      <c r="K23" s="49" t="n">
        <v>120000</v>
      </c>
      <c r="L23" s="0" t="n">
        <f aca="false">3-1</f>
        <v>2</v>
      </c>
      <c r="M23" s="49" t="n">
        <f aca="false">K23*L23</f>
        <v>240000</v>
      </c>
      <c r="N23" s="96" t="n">
        <f aca="false">SUM(N8:N22)</f>
        <v>290350.463302938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f aca="false">1-1</f>
        <v>0</v>
      </c>
      <c r="M24" s="49" t="n">
        <f aca="false">K24*L24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3</v>
      </c>
      <c r="J25" s="0" t="s">
        <v>155</v>
      </c>
      <c r="K25" s="49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49" t="n">
        <f aca="false">K25*L25</f>
        <v>0</v>
      </c>
      <c r="N25" s="77" t="n">
        <v>1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49" t="n">
        <f aca="false">K26*L26</f>
        <v>0</v>
      </c>
      <c r="N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4</v>
      </c>
      <c r="J27" s="0" t="s">
        <v>158</v>
      </c>
      <c r="K27" s="49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49" t="n">
        <f aca="false">K27*L27</f>
        <v>0</v>
      </c>
      <c r="N27" s="77" t="n">
        <f aca="false">SUM(T21:T22)</f>
        <v>0</v>
      </c>
    </row>
    <row r="28" customFormat="false" ht="12.75" hidden="false" customHeight="false" outlineLevel="0" collapsed="false">
      <c r="B28" s="73"/>
      <c r="L28" s="0" t="n">
        <f aca="false">SUM(L16:L27)</f>
        <v>7</v>
      </c>
      <c r="M28" s="49" t="n">
        <f aca="false">SUM(M16:M27)</f>
        <v>675600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98" t="n">
        <f aca="false">SUM(F25:F27)</f>
        <v>7</v>
      </c>
      <c r="H29" s="49"/>
      <c r="N29" s="98" t="n">
        <f aca="false">SUM(N25:N27)</f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7</v>
      </c>
      <c r="M34" s="80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64" activeCellId="0" sqref="D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311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'[12]Executive Orig'!C8+[12]Trading!C8+[12]Origination!C8+'[12]Mid Market'!C8+[12]Services!C8+[12]Fundamentals!C8</f>
        <v>4789958.99</v>
      </c>
      <c r="E8" s="64" t="n">
        <f aca="false">(C8/9)*12</f>
        <v>6386611.98666667</v>
      </c>
      <c r="F8" s="64"/>
      <c r="G8" s="64" t="n">
        <v>495000</v>
      </c>
      <c r="H8" s="64"/>
      <c r="I8" s="91" t="n">
        <f aca="false">+G8/$G$23</f>
        <v>0.471726905556827</v>
      </c>
      <c r="K8" s="88" t="s">
        <v>116</v>
      </c>
      <c r="L8" s="49" t="n">
        <v>0</v>
      </c>
      <c r="M8" s="26" t="n">
        <f aca="false">+M11</f>
        <v>6</v>
      </c>
      <c r="N8" s="92" t="n">
        <f aca="false">N28</f>
        <v>673200</v>
      </c>
      <c r="O8" s="64" t="n">
        <f aca="false">+G8/$G$29*$O$29</f>
        <v>70714.2857142857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'[12]Executive Orig'!C9+[12]Trading!C9+[12]Origination!C9+'[12]Mid Market'!C9+[12]Services!C9+[12]Fundamentals!C9</f>
        <v>1464000</v>
      </c>
      <c r="E9" s="64" t="n">
        <f aca="false">+C9</f>
        <v>1464000</v>
      </c>
      <c r="F9" s="64"/>
      <c r="G9" s="64"/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'[12]Executive Orig'!C10+[12]Trading!C10+[12]Origination!C10+'[12]Mid Market'!C10+[12]Services!C10+[12]Fundamentals!C10</f>
        <v>804567</v>
      </c>
      <c r="E10" s="64" t="n">
        <f aca="false">(C10/9)*12</f>
        <v>1072756</v>
      </c>
      <c r="F10" s="64"/>
      <c r="G10" s="64" t="n">
        <v>132000</v>
      </c>
      <c r="H10" s="64"/>
      <c r="I10" s="91" t="n">
        <f aca="false">+G10/$G$23</f>
        <v>0.125793841481821</v>
      </c>
      <c r="K10" s="88"/>
      <c r="L10" s="26"/>
      <c r="M10" s="26"/>
      <c r="N10" s="89"/>
      <c r="O10" s="64" t="n">
        <f aca="false">+G10/$G$29*$O$29</f>
        <v>18857.1428571429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'[12]Executive Orig'!C11+[12]Trading!C11+[12]Origination!C11+'[12]Mid Market'!C11+[12]Services!C11+[12]Fundamentals!C11</f>
        <v>1096068.21</v>
      </c>
      <c r="E11" s="64" t="n">
        <f aca="false">(C11/9)*12</f>
        <v>1461424.28</v>
      </c>
      <c r="F11" s="64"/>
      <c r="G11" s="64" t="n">
        <v>125400</v>
      </c>
      <c r="H11" s="64"/>
      <c r="I11" s="91" t="n">
        <f aca="false">+G11/$G$23</f>
        <v>0.11950414940773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6</v>
      </c>
      <c r="N11" s="92" t="n">
        <f aca="false">L11*M11</f>
        <v>285203.131685393</v>
      </c>
      <c r="O11" s="64" t="n">
        <f aca="false">+G11/$G$29*$O$29</f>
        <v>17914.2857142857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'[12]Executive Orig'!C12+[12]Trading!C12+[12]Origination!C12+'[12]Mid Market'!C12+[12]Services!C12+[12]Fundamentals!C12</f>
        <v>658117.68</v>
      </c>
      <c r="E12" s="68" t="n">
        <f aca="false">((C12/9)*12)*1.2</f>
        <v>1052988.288</v>
      </c>
      <c r="F12" s="64"/>
      <c r="G12" s="64" t="n">
        <v>30000</v>
      </c>
      <c r="H12" s="64"/>
      <c r="I12" s="91" t="n">
        <f aca="false">+G12/$G$23</f>
        <v>0.0285895094276865</v>
      </c>
      <c r="K12" s="88"/>
      <c r="L12" s="26"/>
      <c r="M12" s="26"/>
      <c r="N12" s="89"/>
      <c r="O12" s="64" t="n">
        <f aca="false">+G12/$G$29*$O$29</f>
        <v>4285.71428571429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'[12]Executive Orig'!C13+[12]Trading!C13+[12]Origination!C13+'[12]Mid Market'!C13+[12]Services!C13+[12]Fundamentals!C13</f>
        <v>719773.8</v>
      </c>
      <c r="E13" s="68" t="n">
        <f aca="false">((C13/9)*12)*1.2</f>
        <v>1151638.08</v>
      </c>
      <c r="F13" s="64"/>
      <c r="G13" s="64" t="n">
        <v>30000</v>
      </c>
      <c r="H13" s="64"/>
      <c r="I13" s="91" t="n">
        <f aca="false">+G13/$G$23</f>
        <v>0.0285895094276865</v>
      </c>
      <c r="K13" s="93" t="s">
        <v>125</v>
      </c>
      <c r="L13" s="94"/>
      <c r="M13" s="94"/>
      <c r="N13" s="95" t="n">
        <f aca="false">N8+N11</f>
        <v>958403.131685393</v>
      </c>
      <c r="O13" s="64" t="n">
        <f aca="false">+G13/$G$29*$O$29</f>
        <v>4285.71428571429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'[12]Executive Orig'!C14+[12]Trading!C14+[12]Origination!C14+'[12]Mid Market'!C14+[12]Services!C14+[12]Fundamentals!C14-C32</f>
        <v>0.239999999757856</v>
      </c>
      <c r="E14" s="68" t="n">
        <f aca="false">((C14/9)*12)*1.2</f>
        <v>0.38399999961257</v>
      </c>
      <c r="F14" s="64"/>
      <c r="G14" s="64" t="n">
        <v>80000</v>
      </c>
      <c r="H14" s="64"/>
      <c r="I14" s="91" t="n">
        <f aca="false">+G14/$G$23</f>
        <v>0.076238691807164</v>
      </c>
      <c r="O14" s="64" t="n">
        <f aca="false">+G14/$G$29*$O$29</f>
        <v>11428.5714285714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'[12]Executive Orig'!C15+[12]Trading!C15+[12]Origination!C15+'[12]Mid Market'!C15+[12]Services!C15+[12]Fundamentals!C15</f>
        <v>128890.14</v>
      </c>
      <c r="E15" s="68" t="n">
        <f aca="false">((C15/9)*12)*1.2</f>
        <v>206224.224</v>
      </c>
      <c r="F15" s="64"/>
      <c r="G15" s="64" t="n">
        <v>20160</v>
      </c>
      <c r="H15" s="64"/>
      <c r="I15" s="91" t="n">
        <f aca="false">+G15/$G$23</f>
        <v>0.0192121503354053</v>
      </c>
      <c r="O15" s="64" t="n">
        <f aca="false">+G15/$G$29*$O$29</f>
        <v>2880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'[12]Executive Orig'!C16+[12]Trading!C16+[12]Origination!C16+'[12]Mid Market'!C16+[12]Services!C16+[12]Fundamentals!C16</f>
        <v>0</v>
      </c>
      <c r="E16" s="68" t="n">
        <f aca="false">((C16/9)*12)*1.2</f>
        <v>0</v>
      </c>
      <c r="F16" s="64"/>
      <c r="G16" s="64" t="n"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'[12]Executive Orig'!C17+[12]Trading!C17+[12]Origination!C17+'[12]Mid Market'!C17+[12]Services!C17+[12]Fundamentals!C17</f>
        <v>11300</v>
      </c>
      <c r="E17" s="68" t="n">
        <f aca="false">((C17/9)*12)*1.2</f>
        <v>18080</v>
      </c>
      <c r="F17" s="64"/>
      <c r="G17" s="64" t="n">
        <v>0</v>
      </c>
      <c r="H17" s="64"/>
      <c r="I17" s="91" t="n">
        <f aca="false">+G17/$G$23</f>
        <v>0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'[12]Executive Orig'!C18+[12]Trading!C18+[12]Origination!C18+'[12]Mid Market'!C18+[12]Services!C18+[12]Fundamentals!C18</f>
        <v>327447.74</v>
      </c>
      <c r="E18" s="68" t="n">
        <f aca="false">((C18/9)*12)*1.2</f>
        <v>523916.384</v>
      </c>
      <c r="F18" s="64"/>
      <c r="G18" s="64" t="n">
        <v>6300</v>
      </c>
      <c r="H18" s="64"/>
      <c r="I18" s="91" t="n">
        <f aca="false">+G18/$G$23</f>
        <v>0.00600379697981416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900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'[12]Executive Orig'!C19+[12]Trading!C19+[12]Origination!C19+'[12]Mid Market'!C19+[12]Services!C19+[12]Fundamentals!C19</f>
        <v>155845.37</v>
      </c>
      <c r="E19" s="68" t="n">
        <f aca="false">((C19/9)*12)*1.2</f>
        <v>249352.592</v>
      </c>
      <c r="F19" s="64"/>
      <c r="G19" s="64" t="n">
        <v>49612.0016179775</v>
      </c>
      <c r="H19" s="64"/>
      <c r="I19" s="91" t="n">
        <f aca="false">+G19/$G$23</f>
        <v>0.0472794262661189</v>
      </c>
      <c r="K19" s="0" t="s">
        <v>141</v>
      </c>
      <c r="L19" s="49" t="n">
        <v>63000</v>
      </c>
      <c r="M19" s="0" t="n">
        <v>1</v>
      </c>
      <c r="N19" s="49" t="n">
        <f aca="false">L19*M19</f>
        <v>63000</v>
      </c>
      <c r="O19" s="64" t="n">
        <f aca="false">+G19/$G$29*$O$29</f>
        <v>7087.42880256822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'[12]Executive Orig'!C20+[12]Trading!C20+[12]Origination!C20+'[12]Mid Market'!C20+[12]Services!C20+[12]Fundamentals!C20</f>
        <v>116.15</v>
      </c>
      <c r="E20" s="68" t="n">
        <f aca="false">((C20/9)*12)*1.2</f>
        <v>185.84</v>
      </c>
      <c r="F20" s="64"/>
      <c r="G20" s="64" t="n">
        <v>0</v>
      </c>
      <c r="H20" s="64"/>
      <c r="I20" s="91" t="n">
        <f aca="false">+G20/$G$23</f>
        <v>0</v>
      </c>
      <c r="K20" s="0" t="s">
        <v>144</v>
      </c>
      <c r="L20" s="49" t="n">
        <v>78000</v>
      </c>
      <c r="M20" s="0" t="n">
        <v>2</v>
      </c>
      <c r="N20" s="49" t="n">
        <f aca="false">L20*M20</f>
        <v>156000</v>
      </c>
      <c r="O20" s="64" t="n">
        <f aca="false">+G20/$G$29*$O$29</f>
        <v>0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'[12]Executive Orig'!C21+[12]Trading!C21+[12]Origination!C21+'[12]Mid Market'!C21+[12]Services!C21+[12]Fundamentals!C21</f>
        <v>566869.93</v>
      </c>
      <c r="E21" s="68" t="n">
        <f aca="false">((C21/9)*12)*1.2</f>
        <v>906991.888</v>
      </c>
      <c r="F21" s="64"/>
      <c r="G21" s="64" t="n">
        <v>71336.4406292135</v>
      </c>
      <c r="H21" s="64"/>
      <c r="I21" s="91" t="n">
        <f aca="false">+G21/$G$23</f>
        <v>0.0679824613968832</v>
      </c>
      <c r="K21" s="0" t="s">
        <v>147</v>
      </c>
      <c r="L21" s="49" t="n">
        <v>66000</v>
      </c>
      <c r="M21" s="0" t="n">
        <v>1</v>
      </c>
      <c r="N21" s="49" t="n">
        <f aca="false">L21*M21</f>
        <v>66000</v>
      </c>
      <c r="O21" s="64" t="n">
        <f aca="false">+G21/$G$29*$O$29</f>
        <v>10190.9200898876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'[12]Executive Orig'!C22+[12]Trading!C22+[12]Origination!C22+'[12]Mid Market'!C22+[12]Services!C22+[12]Fundamentals!C22</f>
        <v>75709.65</v>
      </c>
      <c r="E22" s="68" t="n">
        <f aca="false">((C22/9)*12)*1.2</f>
        <v>121135.44</v>
      </c>
      <c r="F22" s="64"/>
      <c r="G22" s="64" t="n">
        <v>9527.50651685393</v>
      </c>
      <c r="H22" s="64"/>
      <c r="I22" s="91" t="n">
        <f aca="false">+G22/$G$23</f>
        <v>0.00907955791286466</v>
      </c>
      <c r="K22" s="0" t="s">
        <v>150</v>
      </c>
      <c r="L22" s="49" t="n">
        <v>97200</v>
      </c>
      <c r="M22" s="0" t="n">
        <v>0</v>
      </c>
      <c r="N22" s="49" t="n">
        <f aca="false">L22*M22</f>
        <v>0</v>
      </c>
      <c r="O22" s="64" t="n">
        <f aca="false">+G22/$G$29*$O$29</f>
        <v>1361.07235955056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v>1049335.94876404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1</v>
      </c>
      <c r="N23" s="49" t="n">
        <f aca="false">L23*M23</f>
        <v>120000</v>
      </c>
      <c r="O23" s="74" t="n">
        <f aca="false">SUM(O8:O22)</f>
        <v>149905.135537721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v>1</v>
      </c>
      <c r="N24" s="49" t="n">
        <f aca="false">L24*M24</f>
        <v>156000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'[12]Executive Orig'!E25+[12]Trading!E25+[12]Origination!E25+'[12]Mid Market'!E25+[12]Services!E25+[12]Fundamentals!E25</f>
        <v>74</v>
      </c>
      <c r="F25" s="64"/>
      <c r="G25" s="77" t="n">
        <v>5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v>1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0</v>
      </c>
      <c r="N26" s="49" t="n">
        <f aca="false">L26*M26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'[12]Executive Orig'!E27+[12]Trading!E27+[12]Origination!E27+'[12]Mid Market'!E27+[12]Services!E27+[12]Fundamentals!E27</f>
        <v>15</v>
      </c>
      <c r="F27" s="64"/>
      <c r="G27" s="77" t="n">
        <v>2</v>
      </c>
      <c r="H27" s="64"/>
      <c r="K27" s="0" t="s">
        <v>158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49" t="n">
        <f aca="false">SUM(N16:N27)*1.2</f>
        <v>673200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v>7</v>
      </c>
      <c r="H29" s="64"/>
      <c r="I29" s="49"/>
      <c r="O29" s="77" t="n">
        <f aca="false">+O27+O25</f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6</v>
      </c>
      <c r="N34" s="80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0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2" customFormat="false" ht="18" hidden="false" customHeight="false" outlineLevel="0" collapsed="false">
      <c r="B2" s="50" t="s">
        <v>312</v>
      </c>
      <c r="C2" s="50"/>
      <c r="D2" s="50"/>
      <c r="E2" s="50"/>
      <c r="F2" s="50"/>
      <c r="G2" s="50"/>
      <c r="H2" s="50"/>
      <c r="I2" s="50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customFormat="false" ht="18.75" hidden="false" customHeight="false" outlineLevel="0" collapsed="false">
      <c r="B3" s="99" t="s">
        <v>1</v>
      </c>
      <c r="C3" s="99"/>
      <c r="D3" s="99"/>
      <c r="E3" s="99"/>
      <c r="F3" s="99"/>
      <c r="G3" s="99"/>
      <c r="H3" s="99"/>
      <c r="I3" s="9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customFormat="false" ht="12.75" hidden="false" customHeight="false" outlineLevel="0" collapsed="false">
      <c r="K4" s="85"/>
      <c r="L4" s="86"/>
      <c r="M4" s="86"/>
      <c r="N4" s="87"/>
    </row>
    <row r="5" customFormat="false" ht="12.75" hidden="false" customHeight="false" outlineLevel="0" collapsed="false">
      <c r="K5" s="88"/>
      <c r="L5" s="26" t="s">
        <v>105</v>
      </c>
      <c r="M5" s="26" t="s">
        <v>106</v>
      </c>
      <c r="N5" s="89" t="s">
        <v>107</v>
      </c>
    </row>
    <row r="6" customFormat="false" ht="12.75" hidden="false" customHeight="false" outlineLevel="0" collapsed="false">
      <c r="C6" s="60" t="n">
        <v>37135</v>
      </c>
      <c r="E6" s="100" t="n">
        <v>2001</v>
      </c>
      <c r="F6" s="60"/>
      <c r="G6" s="100" t="n">
        <v>2002</v>
      </c>
      <c r="H6" s="60"/>
      <c r="I6" s="60" t="s">
        <v>207</v>
      </c>
      <c r="K6" s="88"/>
      <c r="L6" s="26"/>
      <c r="M6" s="26"/>
      <c r="N6" s="89"/>
      <c r="O6" s="100" t="n">
        <v>2002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/>
      <c r="G7" s="61" t="s">
        <v>114</v>
      </c>
      <c r="H7" s="61"/>
      <c r="I7" s="61" t="s">
        <v>208</v>
      </c>
      <c r="K7" s="88"/>
      <c r="L7" s="26"/>
      <c r="M7" s="26"/>
      <c r="N7" s="89"/>
      <c r="O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'[12]Executive Orig'!C8+[12]Trading!C8+[12]Origination!C8+'[12]Mid Market'!C8+[12]Services!C8+[12]Fundamentals!C8</f>
        <v>4789958.99</v>
      </c>
      <c r="E8" s="64" t="n">
        <f aca="false">(C8/9)*12</f>
        <v>6386611.98666667</v>
      </c>
      <c r="F8" s="64"/>
      <c r="G8" s="64" t="n">
        <v>120000</v>
      </c>
      <c r="H8" s="64"/>
      <c r="I8" s="91" t="n">
        <f aca="false">+G8/$G$23</f>
        <v>0.370679546215066</v>
      </c>
      <c r="K8" s="88" t="s">
        <v>116</v>
      </c>
      <c r="L8" s="49" t="n">
        <v>0</v>
      </c>
      <c r="M8" s="26" t="n">
        <f aca="false">+M11</f>
        <v>3</v>
      </c>
      <c r="N8" s="92" t="n">
        <f aca="false">N28</f>
        <v>339840</v>
      </c>
      <c r="O8" s="64" t="n">
        <f aca="false">+G8/$G$29*$O$29</f>
        <v>60000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'[12]Executive Orig'!C9+[12]Trading!C9+[12]Origination!C9+'[12]Mid Market'!C9+[12]Services!C9+[12]Fundamentals!C9</f>
        <v>1464000</v>
      </c>
      <c r="E9" s="64" t="n">
        <f aca="false">+C9</f>
        <v>1464000</v>
      </c>
      <c r="F9" s="64"/>
      <c r="G9" s="64"/>
      <c r="H9" s="64"/>
      <c r="I9" s="91" t="n">
        <f aca="false">+G9/$G$23</f>
        <v>0</v>
      </c>
      <c r="K9" s="88"/>
      <c r="L9" s="26"/>
      <c r="M9" s="26"/>
      <c r="N9" s="89"/>
      <c r="O9" s="64" t="n">
        <f aca="false">+G9/$G$29*$O$29</f>
        <v>0</v>
      </c>
    </row>
    <row r="10" customFormat="false" ht="12.75" hidden="false" customHeight="false" outlineLevel="0" collapsed="false">
      <c r="B10" s="63" t="s">
        <v>196</v>
      </c>
      <c r="C10" s="64" t="n">
        <f aca="false">'[12]Executive Orig'!C10+[12]Trading!C10+[12]Origination!C10+'[12]Mid Market'!C10+[12]Services!C10+[12]Fundamentals!C10</f>
        <v>804567</v>
      </c>
      <c r="E10" s="64" t="n">
        <f aca="false">(C10/9)*12</f>
        <v>1072756</v>
      </c>
      <c r="F10" s="64"/>
      <c r="G10" s="64" t="n">
        <v>97200</v>
      </c>
      <c r="H10" s="64"/>
      <c r="I10" s="91" t="n">
        <f aca="false">+G10/$G$23</f>
        <v>0.300250432434203</v>
      </c>
      <c r="K10" s="88"/>
      <c r="L10" s="26"/>
      <c r="M10" s="26"/>
      <c r="N10" s="89"/>
      <c r="O10" s="64" t="n">
        <f aca="false">+G10/$G$29*$O$29</f>
        <v>48600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'[12]Executive Orig'!C11+[12]Trading!C11+[12]Origination!C11+'[12]Mid Market'!C11+[12]Services!C11+[12]Fundamentals!C11</f>
        <v>1096068.21</v>
      </c>
      <c r="E11" s="64" t="n">
        <f aca="false">(C11/9)*12</f>
        <v>1461424.28</v>
      </c>
      <c r="F11" s="64"/>
      <c r="G11" s="64" t="n">
        <v>43440</v>
      </c>
      <c r="H11" s="64"/>
      <c r="I11" s="91" t="n">
        <f aca="false">+G11/$G$23</f>
        <v>0.134185995729854</v>
      </c>
      <c r="K11" s="88" t="s">
        <v>78</v>
      </c>
      <c r="L11" s="80" t="n">
        <f aca="false">(E12+E13+E14+E15+E16+E17+E18+E19+E20+E21+E22)/E29</f>
        <v>47533.8552808989</v>
      </c>
      <c r="M11" s="26" t="n">
        <f aca="false">M28</f>
        <v>3</v>
      </c>
      <c r="N11" s="92" t="n">
        <f aca="false">L11*M11</f>
        <v>142601.565842697</v>
      </c>
      <c r="O11" s="64" t="n">
        <f aca="false">+G11/$G$29*$O$29</f>
        <v>21720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'[12]Executive Orig'!C12+[12]Trading!C12+[12]Origination!C12+'[12]Mid Market'!C12+[12]Services!C12+[12]Fundamentals!C12</f>
        <v>658117.68</v>
      </c>
      <c r="E12" s="68" t="n">
        <f aca="false">((C12/9)*12)*1.2</f>
        <v>1052988.288</v>
      </c>
      <c r="F12" s="64"/>
      <c r="G12" s="64" t="n">
        <v>14400</v>
      </c>
      <c r="H12" s="64"/>
      <c r="I12" s="91" t="n">
        <f aca="false">+G12/$G$23</f>
        <v>0.0444815455458079</v>
      </c>
      <c r="K12" s="88"/>
      <c r="L12" s="26"/>
      <c r="M12" s="26"/>
      <c r="N12" s="89"/>
      <c r="O12" s="64" t="n">
        <f aca="false">+G12/$G$29*$O$29</f>
        <v>7200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'[12]Executive Orig'!C13+[12]Trading!C13+[12]Origination!C13+'[12]Mid Market'!C13+[12]Services!C13+[12]Fundamentals!C13</f>
        <v>719773.8</v>
      </c>
      <c r="E13" s="68" t="n">
        <f aca="false">((C13/9)*12)*1.2</f>
        <v>1151638.08</v>
      </c>
      <c r="F13" s="64"/>
      <c r="G13" s="64" t="n">
        <v>27800</v>
      </c>
      <c r="H13" s="64"/>
      <c r="I13" s="91" t="n">
        <f aca="false">+G13/$G$23</f>
        <v>0.0858740948731569</v>
      </c>
      <c r="K13" s="93" t="s">
        <v>125</v>
      </c>
      <c r="L13" s="94"/>
      <c r="M13" s="94"/>
      <c r="N13" s="95" t="n">
        <f aca="false">N8+N11</f>
        <v>482441.565842697</v>
      </c>
      <c r="O13" s="64" t="n">
        <f aca="false">+G13/$G$29*$O$29</f>
        <v>13900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'[12]Executive Orig'!C14+[12]Trading!C14+[12]Origination!C14+'[12]Mid Market'!C14+[12]Services!C14+[12]Fundamentals!C14-C32</f>
        <v>0.239999999757856</v>
      </c>
      <c r="E14" s="68" t="n">
        <f aca="false">((C14/9)*12)*1.2</f>
        <v>0.38399999961257</v>
      </c>
      <c r="F14" s="64"/>
      <c r="G14" s="64" t="n">
        <v>0.00862921347443977</v>
      </c>
      <c r="H14" s="64"/>
      <c r="I14" s="91" t="n">
        <f aca="false">+G14/$G$23</f>
        <v>2.66556077908189E-008</v>
      </c>
      <c r="O14" s="64" t="n">
        <f aca="false">+G14/$G$29*$O$29</f>
        <v>0.00431460673721988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'[12]Executive Orig'!C15+[12]Trading!C15+[12]Origination!C15+'[12]Mid Market'!C15+[12]Services!C15+[12]Fundamentals!C15</f>
        <v>128890.14</v>
      </c>
      <c r="E15" s="68" t="n">
        <f aca="false">((C15/9)*12)*1.2</f>
        <v>206224.224</v>
      </c>
      <c r="F15" s="64"/>
      <c r="G15" s="64" t="n">
        <v>5760</v>
      </c>
      <c r="H15" s="64"/>
      <c r="I15" s="91" t="n">
        <f aca="false">+G15/$G$23</f>
        <v>0.0177926182183232</v>
      </c>
      <c r="O15" s="64" t="n">
        <f aca="false">+G15/$G$29*$O$29</f>
        <v>2880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'[12]Executive Orig'!C16+[12]Trading!C16+[12]Origination!C16+'[12]Mid Market'!C16+[12]Services!C16+[12]Fundamentals!C16</f>
        <v>0</v>
      </c>
      <c r="E16" s="68" t="n">
        <f aca="false">((C16/9)*12)*1.2</f>
        <v>0</v>
      </c>
      <c r="F16" s="64"/>
      <c r="G16" s="64" t="n">
        <v>0</v>
      </c>
      <c r="H16" s="64"/>
      <c r="I16" s="91" t="n">
        <f aca="false">+G16/$G$23</f>
        <v>0</v>
      </c>
      <c r="K16" s="0" t="s">
        <v>197</v>
      </c>
      <c r="L16" s="49" t="n">
        <v>33600</v>
      </c>
      <c r="M16" s="0" t="n">
        <v>0</v>
      </c>
      <c r="N16" s="49" t="n">
        <f aca="false">L16*M16</f>
        <v>0</v>
      </c>
      <c r="O16" s="64" t="n">
        <f aca="false">+G16/$G$29*$O$29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'[12]Executive Orig'!C17+[12]Trading!C17+[12]Origination!C17+'[12]Mid Market'!C17+[12]Services!C17+[12]Fundamentals!C17</f>
        <v>11300</v>
      </c>
      <c r="E17" s="68" t="n">
        <f aca="false">((C17/9)*12)*1.2</f>
        <v>18080</v>
      </c>
      <c r="F17" s="64"/>
      <c r="G17" s="64" t="n">
        <v>0</v>
      </c>
      <c r="H17" s="64"/>
      <c r="I17" s="91" t="n">
        <f aca="false">+G17/$G$23</f>
        <v>0</v>
      </c>
      <c r="K17" s="0" t="s">
        <v>135</v>
      </c>
      <c r="L17" s="49" t="n">
        <v>52800</v>
      </c>
      <c r="M17" s="0" t="n">
        <v>0</v>
      </c>
      <c r="N17" s="49" t="n">
        <f aca="false">L17*M17</f>
        <v>0</v>
      </c>
      <c r="O17" s="64" t="n">
        <f aca="false">+G17/$G$29*$O$29</f>
        <v>0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'[12]Executive Orig'!C18+[12]Trading!C18+[12]Origination!C18+'[12]Mid Market'!C18+[12]Services!C18+[12]Fundamentals!C18</f>
        <v>327447.74</v>
      </c>
      <c r="E18" s="68" t="n">
        <f aca="false">((C18/9)*12)*1.2</f>
        <v>523916.384</v>
      </c>
      <c r="F18" s="64"/>
      <c r="G18" s="64" t="n">
        <v>1800</v>
      </c>
      <c r="H18" s="64"/>
      <c r="I18" s="91" t="n">
        <f aca="false">+G18/$G$23</f>
        <v>0.00556019319322599</v>
      </c>
      <c r="K18" s="0" t="s">
        <v>138</v>
      </c>
      <c r="L18" s="49" t="n">
        <v>54000</v>
      </c>
      <c r="M18" s="0" t="n">
        <v>0</v>
      </c>
      <c r="N18" s="49" t="n">
        <f aca="false">L18*M18</f>
        <v>0</v>
      </c>
      <c r="O18" s="64" t="n">
        <f aca="false">+G18/$G$29*$O$29</f>
        <v>900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'[12]Executive Orig'!C19+[12]Trading!C19+[12]Origination!C19+'[12]Mid Market'!C19+[12]Services!C19+[12]Fundamentals!C19</f>
        <v>155845.37</v>
      </c>
      <c r="E19" s="68" t="n">
        <f aca="false">((C19/9)*12)*1.2</f>
        <v>249352.592</v>
      </c>
      <c r="F19" s="64"/>
      <c r="G19" s="64" t="n">
        <v>5603.42903370787</v>
      </c>
      <c r="H19" s="64"/>
      <c r="I19" s="91" t="n">
        <f aca="false">+G19/$G$23</f>
        <v>0.0173089710955263</v>
      </c>
      <c r="K19" s="0" t="s">
        <v>141</v>
      </c>
      <c r="L19" s="49" t="n">
        <v>63000</v>
      </c>
      <c r="M19" s="0" t="n">
        <v>0</v>
      </c>
      <c r="N19" s="49" t="n">
        <f aca="false">L19*M19</f>
        <v>0</v>
      </c>
      <c r="O19" s="64" t="n">
        <f aca="false">+G19/$G$29*$O$29</f>
        <v>2801.71451685393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'[12]Executive Orig'!C20+[12]Trading!C20+[12]Origination!C20+'[12]Mid Market'!C20+[12]Services!C20+[12]Fundamentals!C20</f>
        <v>116.15</v>
      </c>
      <c r="E20" s="68" t="n">
        <f aca="false">((C20/9)*12)*1.2</f>
        <v>185.84</v>
      </c>
      <c r="F20" s="64"/>
      <c r="G20" s="64" t="n">
        <v>4.1761797752809</v>
      </c>
      <c r="H20" s="64"/>
      <c r="I20" s="91" t="n">
        <f aca="false">+G20/$G$23</f>
        <v>1.29002035334472E-005</v>
      </c>
      <c r="K20" s="0" t="s">
        <v>144</v>
      </c>
      <c r="L20" s="49" t="n">
        <v>78000</v>
      </c>
      <c r="M20" s="0" t="n">
        <f aca="false">2-2</f>
        <v>0</v>
      </c>
      <c r="N20" s="49" t="n">
        <f aca="false">L20*M20</f>
        <v>0</v>
      </c>
      <c r="O20" s="64" t="n">
        <f aca="false">+G20/$G$29*$O$29</f>
        <v>2.08808988764045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'[12]Executive Orig'!C21+[12]Trading!C21+[12]Origination!C21+'[12]Mid Market'!C21+[12]Services!C21+[12]Fundamentals!C21</f>
        <v>566869.93</v>
      </c>
      <c r="E21" s="68" t="n">
        <f aca="false">((C21/9)*12)*1.2</f>
        <v>906991.888</v>
      </c>
      <c r="F21" s="64"/>
      <c r="G21" s="64" t="n">
        <v>5000</v>
      </c>
      <c r="H21" s="64"/>
      <c r="I21" s="91" t="n">
        <f aca="false">+G21/$G$23</f>
        <v>0.0154449810922944</v>
      </c>
      <c r="K21" s="0" t="s">
        <v>147</v>
      </c>
      <c r="L21" s="49" t="n">
        <v>66000</v>
      </c>
      <c r="M21" s="0" t="n">
        <v>1</v>
      </c>
      <c r="N21" s="49" t="n">
        <f aca="false">L21*M21</f>
        <v>66000</v>
      </c>
      <c r="O21" s="64" t="n">
        <f aca="false">+G21/$G$29*$O$29</f>
        <v>2500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'[12]Executive Orig'!C22+[12]Trading!C22+[12]Origination!C22+'[12]Mid Market'!C22+[12]Services!C22+[12]Fundamentals!C22</f>
        <v>75709.65</v>
      </c>
      <c r="E22" s="68" t="n">
        <f aca="false">((C22/9)*12)*1.2</f>
        <v>121135.44</v>
      </c>
      <c r="F22" s="64"/>
      <c r="G22" s="64" t="n">
        <v>2722.14471910112</v>
      </c>
      <c r="H22" s="64"/>
      <c r="I22" s="91" t="n">
        <f aca="false">+G22/$G$23</f>
        <v>0.00840869474340118</v>
      </c>
      <c r="K22" s="0" t="s">
        <v>150</v>
      </c>
      <c r="L22" s="49" t="n">
        <v>97200</v>
      </c>
      <c r="M22" s="0" t="n">
        <v>1</v>
      </c>
      <c r="N22" s="49" t="n">
        <f aca="false">L22*M22</f>
        <v>97200</v>
      </c>
      <c r="O22" s="64" t="n">
        <f aca="false">+G22/$G$29*$O$29</f>
        <v>1361.07235955056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10798664.9</v>
      </c>
      <c r="E23" s="74" t="n">
        <f aca="false">SUM(E8:E22)</f>
        <v>14615305.3866667</v>
      </c>
      <c r="F23" s="76"/>
      <c r="G23" s="74" t="n">
        <v>323729.758561798</v>
      </c>
      <c r="H23" s="76"/>
      <c r="I23" s="97" t="n">
        <f aca="false">SUM(I8:I22)</f>
        <v>1</v>
      </c>
      <c r="K23" s="0" t="s">
        <v>153</v>
      </c>
      <c r="L23" s="49" t="n">
        <v>120000</v>
      </c>
      <c r="M23" s="0" t="n">
        <v>1</v>
      </c>
      <c r="N23" s="49" t="n">
        <f aca="false">L23*M23</f>
        <v>120000</v>
      </c>
      <c r="O23" s="74" t="n">
        <f aca="false">SUM(O8:O22)</f>
        <v>161864.879280899</v>
      </c>
    </row>
    <row r="24" customFormat="false" ht="12.75" hidden="false" customHeight="false" outlineLevel="0" collapsed="false">
      <c r="K24" s="0" t="s">
        <v>154</v>
      </c>
      <c r="L24" s="49" t="n">
        <v>156000</v>
      </c>
      <c r="M24" s="0" t="n">
        <f aca="false">1-1</f>
        <v>0</v>
      </c>
      <c r="N24" s="49" t="n">
        <f aca="false">L24*M24</f>
        <v>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'[12]Executive Orig'!E25+[12]Trading!E25+[12]Origination!E25+'[12]Mid Market'!E25+[12]Services!E25+[12]Fundamentals!E25</f>
        <v>74</v>
      </c>
      <c r="F25" s="64"/>
      <c r="G25" s="77" t="n">
        <v>1</v>
      </c>
      <c r="H25" s="64"/>
      <c r="K25" s="0" t="s">
        <v>155</v>
      </c>
      <c r="L25" s="49" t="n">
        <v>180000</v>
      </c>
      <c r="M25" s="0" t="n">
        <v>0</v>
      </c>
      <c r="N25" s="49" t="n">
        <f aca="false">L25*M25</f>
        <v>0</v>
      </c>
      <c r="O25" s="77" t="n">
        <v>1</v>
      </c>
    </row>
    <row r="26" customFormat="false" ht="12.75" hidden="false" customHeight="false" outlineLevel="0" collapsed="false">
      <c r="C26" s="64"/>
      <c r="E26" s="64"/>
      <c r="F26" s="64"/>
      <c r="G26" s="64"/>
      <c r="H26" s="64"/>
      <c r="K26" s="0" t="s">
        <v>156</v>
      </c>
      <c r="L26" s="49" t="n">
        <v>216000</v>
      </c>
      <c r="M26" s="0" t="n">
        <v>0</v>
      </c>
      <c r="N26" s="49" t="n">
        <f aca="false">L26*M26</f>
        <v>0</v>
      </c>
      <c r="O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'[12]Executive Orig'!E27+[12]Trading!E27+[12]Origination!E27+'[12]Mid Market'!E27+[12]Services!E27+[12]Fundamentals!E27</f>
        <v>15</v>
      </c>
      <c r="F27" s="64"/>
      <c r="G27" s="77" t="n">
        <v>1</v>
      </c>
      <c r="H27" s="64"/>
      <c r="K27" s="0" t="s">
        <v>158</v>
      </c>
      <c r="L27" s="49" t="n">
        <v>240000</v>
      </c>
      <c r="M27" s="0" t="n">
        <v>0</v>
      </c>
      <c r="N27" s="49" t="n">
        <f aca="false">L27*M27</f>
        <v>0</v>
      </c>
      <c r="O27" s="77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49" t="n">
        <f aca="false">SUM(N16:N27)*1.2</f>
        <v>339840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+E27+E25</f>
        <v>89</v>
      </c>
      <c r="F29" s="64"/>
      <c r="G29" s="77" t="n">
        <v>2</v>
      </c>
      <c r="H29" s="64"/>
      <c r="I29" s="49"/>
      <c r="O29" s="77" t="n">
        <f aca="false">+O27+O25</f>
        <v>1</v>
      </c>
    </row>
    <row r="31" customFormat="false" ht="12.75" hidden="false" customHeight="false" outlineLevel="0" collapsed="false">
      <c r="J31" s="16" t="s">
        <v>160</v>
      </c>
      <c r="K31" s="49"/>
      <c r="L31" s="49"/>
      <c r="M31" s="49"/>
    </row>
    <row r="32" customFormat="false" ht="12.75" hidden="true" customHeight="false" outlineLevel="0" collapsed="false">
      <c r="B32" s="63" t="s">
        <v>127</v>
      </c>
      <c r="C32" s="64" t="n">
        <v>677322</v>
      </c>
      <c r="K32" s="49"/>
      <c r="L32" s="49"/>
      <c r="M32" s="49"/>
    </row>
    <row r="33" customFormat="false" ht="12.75" hidden="false" customHeight="false" outlineLevel="0" collapsed="false">
      <c r="J33" s="79" t="s">
        <v>161</v>
      </c>
      <c r="K33" s="80" t="s">
        <v>162</v>
      </c>
      <c r="L33" s="80" t="s">
        <v>163</v>
      </c>
      <c r="M33" s="80" t="s">
        <v>106</v>
      </c>
      <c r="N33" s="80" t="s">
        <v>164</v>
      </c>
    </row>
    <row r="34" customFormat="false" ht="12.75" hidden="false" customHeight="false" outlineLevel="0" collapsed="false">
      <c r="J34" s="81" t="n">
        <f aca="false">SUM(E12:E22)</f>
        <v>4230513.12</v>
      </c>
      <c r="K34" s="80" t="n">
        <f aca="false">+E29</f>
        <v>89</v>
      </c>
      <c r="L34" s="80" t="n">
        <f aca="false">+J34/K34</f>
        <v>47533.8552808989</v>
      </c>
      <c r="M34" s="80" t="n">
        <f aca="false">+M11</f>
        <v>3</v>
      </c>
      <c r="N34" s="80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customFormat="false" ht="18" hidden="false" customHeight="false" outlineLevel="0" collapsed="false">
      <c r="B2" s="50" t="s">
        <v>313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Q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Q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f aca="false">L28-H10</f>
        <v>475200</v>
      </c>
      <c r="I8" s="58" t="s">
        <v>116</v>
      </c>
      <c r="J8" s="49" t="n">
        <v>0</v>
      </c>
      <c r="L8" s="59" t="n">
        <f aca="false">L30</f>
        <v>570240</v>
      </c>
      <c r="Q8" s="64" t="n">
        <f aca="false">+H8/$H$29*$Q$29</f>
        <v>158400</v>
      </c>
    </row>
    <row r="9" customFormat="false" ht="12.75" hidden="true" customHeight="false" outlineLevel="0" collapsed="false">
      <c r="A9" s="62"/>
      <c r="B9" s="63" t="s">
        <v>117</v>
      </c>
      <c r="C9" s="6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Q9" s="64" t="n">
        <f aca="false">+H9/$H$29*$Q$29</f>
        <v>0</v>
      </c>
    </row>
    <row r="10" customFormat="false" ht="12.75" hidden="false" customHeight="false" outlineLevel="0" collapsed="false">
      <c r="A10" s="62"/>
      <c r="B10" s="63" t="s">
        <v>118</v>
      </c>
      <c r="C10" s="6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64"/>
      <c r="E10" s="6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65" t="n">
        <f aca="false">E10/$E$23</f>
        <v>0.00377976191391553</v>
      </c>
      <c r="H10" s="64" t="n">
        <f aca="false">L21+L22</f>
        <v>0</v>
      </c>
      <c r="I10" s="58"/>
      <c r="L10" s="59"/>
      <c r="Q10" s="64" t="n">
        <f aca="false">+H10/$H$29*$Q$29</f>
        <v>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f aca="false">L30-L28</f>
        <v>95040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3</v>
      </c>
      <c r="L11" s="59" t="n">
        <f aca="false">J11*K11</f>
        <v>144810.54375</v>
      </c>
      <c r="Q11" s="64" t="n">
        <f aca="false">+H11/$H$29*$Q$29</f>
        <v>31680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f aca="false">(E12/$E$29)*$K$11</f>
        <v>18487.42125</v>
      </c>
      <c r="I12" s="58"/>
      <c r="L12" s="59"/>
      <c r="Q12" s="64" t="n">
        <f aca="false">+H12/$H$29*$Q$29</f>
        <v>6162.47375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f aca="false">(E13/$E$29)*$K$11</f>
        <v>16454.87075</v>
      </c>
      <c r="I13" s="69" t="s">
        <v>125</v>
      </c>
      <c r="J13" s="70"/>
      <c r="K13" s="70"/>
      <c r="L13" s="71" t="n">
        <f aca="false">L8+L11</f>
        <v>715050.54375</v>
      </c>
      <c r="N13" s="49" t="n">
        <v>24109311.029375</v>
      </c>
      <c r="P13" s="66" t="n">
        <f aca="false">N13-L13</f>
        <v>23394260.485625</v>
      </c>
      <c r="Q13" s="64" t="n">
        <f aca="false">+H13/$H$29*$Q$29</f>
        <v>5484.95691666667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f aca="false">(E14/$E$29)*$K$11</f>
        <v>0.00600000000049476</v>
      </c>
      <c r="Q14" s="64" t="n">
        <f aca="false">+H14/$H$29*$Q$29</f>
        <v>0.00200000000016492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f aca="false">(E15/$E$29)*$K$11</f>
        <v>2614.075</v>
      </c>
      <c r="Q15" s="64" t="n">
        <f aca="false">+H15/$H$29*$Q$29</f>
        <v>871.358333333333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f aca="false">(E16/$E$29)*$K$11</f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Q16" s="64" t="n">
        <f aca="false">+H16/$H$29*$Q$29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f aca="false">(E17/$E$29)*$K$11</f>
        <v>147.5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Q17" s="64" t="n">
        <f aca="false">+H17/$H$29*$Q$29</f>
        <v>49.1666666666667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f aca="false">(E18/$E$29)*$K$11</f>
        <v>2678.873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Q18" s="64" t="n">
        <f aca="false">+H18/$H$29*$Q$29</f>
        <v>892.957666666667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f aca="false">(E19/$E$29)*$K$11</f>
        <v>2730.258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Q19" s="64" t="n">
        <f aca="false">+H19/$H$29*$Q$29</f>
        <v>910.086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f aca="false">(E20/$E$29)*$K$11</f>
        <v>0.4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Q20" s="64" t="n">
        <f aca="false">+H20/$H$29*$Q$29</f>
        <v>0.133333333333333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f aca="false">(E21/$E$29)*$K$11</f>
        <v>3394.72275</v>
      </c>
      <c r="I21" s="49" t="s">
        <v>147</v>
      </c>
      <c r="J21" s="49" t="n">
        <v>60500</v>
      </c>
      <c r="K21" s="49" t="n">
        <f aca="false">6-5-1</f>
        <v>0</v>
      </c>
      <c r="L21" s="49" t="n">
        <f aca="false">J21*K21</f>
        <v>0</v>
      </c>
      <c r="Q21" s="64" t="n">
        <f aca="false">+H21/$H$29*$Q$29</f>
        <v>1131.57425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f aca="false">(E22/$E$29)*$K$11-98302</f>
        <v>0.417000000044936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Q22" s="64" t="n">
        <f aca="false">+H22/$H$29*$Q$29</f>
        <v>0.139000000014979</v>
      </c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616748.54375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Q23" s="74" t="n">
        <f aca="false">SUM(Q8:Q22)</f>
        <v>205582.847916667</v>
      </c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v>2</v>
      </c>
      <c r="L24" s="49" t="n">
        <f aca="false">J24*K24</f>
        <v>286000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7" t="n">
        <f aca="false">+K16+K17+K18+K19+K20+K23+K24+K25+K26+K27</f>
        <v>3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Q25" s="77" t="n">
        <v>1</v>
      </c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0</v>
      </c>
      <c r="L26" s="49" t="n">
        <f aca="false">J26*K26</f>
        <v>0</v>
      </c>
      <c r="Q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Q27" s="77" t="n">
        <f aca="false">+T21+T22</f>
        <v>0</v>
      </c>
    </row>
    <row r="28" customFormat="false" ht="12.75" hidden="false" customHeight="false" outlineLevel="0" collapsed="false">
      <c r="K28" s="49" t="n">
        <f aca="false">SUM(K16:K27)</f>
        <v>3</v>
      </c>
      <c r="L28" s="49" t="n">
        <f aca="false">SUM(L16:L27)*1.2</f>
        <v>475200</v>
      </c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3</v>
      </c>
      <c r="L29" s="78" t="n">
        <v>0.2</v>
      </c>
      <c r="Q29" s="77" t="n">
        <f aca="false">SUM(Q25:Q27)</f>
        <v>1</v>
      </c>
    </row>
    <row r="30" customFormat="false" ht="12.75" hidden="true" customHeight="false" outlineLevel="0" collapsed="false">
      <c r="L30" s="49" t="n">
        <f aca="false">L28*1.2</f>
        <v>570240</v>
      </c>
    </row>
    <row r="31" customFormat="false" ht="12.75" hidden="true" customHeight="false" outlineLevel="0" collapsed="false">
      <c r="H31" s="16" t="s">
        <v>160</v>
      </c>
      <c r="L31" s="0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3</v>
      </c>
      <c r="L34" s="80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50" t="str">
        <f aca="false">'[1]Team Report'!B1</f>
        <v>Enron North America</v>
      </c>
      <c r="C1" s="50"/>
      <c r="D1" s="50"/>
      <c r="E1" s="50"/>
      <c r="F1" s="50"/>
      <c r="G1" s="50"/>
      <c r="H1" s="50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customFormat="false" ht="18" hidden="false" customHeight="false" outlineLevel="0" collapsed="false">
      <c r="B2" s="50" t="s">
        <v>314</v>
      </c>
      <c r="C2" s="50"/>
      <c r="D2" s="50"/>
      <c r="E2" s="50"/>
      <c r="F2" s="50"/>
      <c r="G2" s="50"/>
      <c r="H2" s="50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</row>
    <row r="4" customFormat="false" ht="12.75" hidden="false" customHeight="false" outlineLevel="0" collapsed="false">
      <c r="J4" s="85"/>
      <c r="K4" s="86"/>
      <c r="L4" s="86"/>
      <c r="M4" s="87"/>
    </row>
    <row r="5" customFormat="false" ht="12.75" hidden="false" customHeight="false" outlineLevel="0" collapsed="false">
      <c r="J5" s="88"/>
      <c r="K5" s="26" t="s">
        <v>105</v>
      </c>
      <c r="L5" s="26" t="s">
        <v>106</v>
      </c>
      <c r="M5" s="8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F6" s="60" t="s">
        <v>110</v>
      </c>
      <c r="H6" s="90" t="s">
        <v>109</v>
      </c>
      <c r="J6" s="88"/>
      <c r="K6" s="26"/>
      <c r="L6" s="26"/>
      <c r="M6" s="89"/>
      <c r="N6" s="60" t="s">
        <v>110</v>
      </c>
    </row>
    <row r="7" customFormat="false" ht="12.75" hidden="false" customHeight="false" outlineLevel="0" collapsed="false">
      <c r="C7" s="61" t="s">
        <v>111</v>
      </c>
      <c r="E7" s="61" t="s">
        <v>112</v>
      </c>
      <c r="F7" s="61" t="s">
        <v>114</v>
      </c>
      <c r="H7" s="90" t="s">
        <v>113</v>
      </c>
      <c r="J7" s="88"/>
      <c r="K7" s="26"/>
      <c r="L7" s="26"/>
      <c r="M7" s="89"/>
      <c r="N7" s="61" t="s">
        <v>114</v>
      </c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'[5]Ercot Trading'!C8+'[5]Ercot Origination'!C8+'[5]Southeast Trading'!C8+'[5]Southeast Origination'!C8+'[5]Midwest Trading'!C8+'[5]Midwest Origination'!C8+'[5]Northeast Trading'!C8+'[5]Northeast Origination'!C8+'[5]Management Book'!C8+[5]Structuring_Fund!C8+[5]Services!C8+[5]Options!C8</f>
        <v>6640774.8</v>
      </c>
      <c r="E8" s="64" t="n">
        <f aca="false">(C8/9)*12</f>
        <v>8854366.4</v>
      </c>
      <c r="F8" s="64" t="n">
        <f aca="false">M16+M17+M18+M19+M20+M23+M24+M26</f>
        <v>432000</v>
      </c>
      <c r="H8" s="91" t="n">
        <f aca="false">E8/$E$23</f>
        <v>0.43476545989392</v>
      </c>
      <c r="J8" s="88" t="s">
        <v>116</v>
      </c>
      <c r="K8" s="49" t="n">
        <v>0</v>
      </c>
      <c r="L8" s="26"/>
      <c r="M8" s="92" t="n">
        <f aca="false">M28*1.2</f>
        <v>676800</v>
      </c>
      <c r="N8" s="64" t="n">
        <f aca="false">+F8/$F$29*$N$29</f>
        <v>72000</v>
      </c>
    </row>
    <row r="9" customFormat="false" ht="12.75" hidden="false" customHeight="false" outlineLevel="0" collapsed="false">
      <c r="A9" s="62"/>
      <c r="B9" s="63" t="s">
        <v>117</v>
      </c>
      <c r="C9" s="64" t="n">
        <f aca="false">'[5]Ercot Trading'!C9+'[5]Ercot Origination'!C9+'[5]Southeast Trading'!C9+'[5]Southeast Origination'!C9+'[5]Midwest Trading'!C9+'[5]Midwest Origination'!C9+'[5]Northeast Trading'!C9+'[5]Northeast Origination'!C9+'[5]Management Book'!C9+[5]Structuring_Fund!C9+[5]Services!C9+[5]Options!C9</f>
        <v>1460000</v>
      </c>
      <c r="E9" s="64" t="n">
        <f aca="false">C9</f>
        <v>1460000</v>
      </c>
      <c r="F9" s="64"/>
      <c r="H9" s="91" t="n">
        <f aca="false">E9/$E$23</f>
        <v>0.0716886497316311</v>
      </c>
      <c r="J9" s="88"/>
      <c r="K9" s="26"/>
      <c r="L9" s="26"/>
      <c r="M9" s="89"/>
      <c r="N9" s="64" t="n">
        <f aca="false">+F9/$F$29*$N$29</f>
        <v>0</v>
      </c>
    </row>
    <row r="10" customFormat="false" ht="12.75" hidden="false" customHeight="false" outlineLevel="0" collapsed="false">
      <c r="A10" s="62"/>
      <c r="B10" s="63" t="s">
        <v>196</v>
      </c>
      <c r="C10" s="64" t="n">
        <f aca="false">'[5]Ercot Trading'!C10+'[5]Ercot Origination'!C10+'[5]Southeast Trading'!C10+'[5]Southeast Origination'!C10+'[5]Midwest Trading'!C10+'[5]Midwest Origination'!C10+'[5]Northeast Trading'!C10+'[5]Northeast Origination'!C10+'[5]Management Book'!C10+[5]Structuring_Fund!C10+[5]Services!C10+[5]Options!C10</f>
        <v>2652510</v>
      </c>
      <c r="E10" s="64" t="n">
        <f aca="false">(C10/9)*12</f>
        <v>3536680</v>
      </c>
      <c r="F10" s="64" t="n">
        <f aca="false">M21+M22</f>
        <v>132000</v>
      </c>
      <c r="H10" s="91" t="n">
        <f aca="false">E10/$E$23</f>
        <v>0.173657406666346</v>
      </c>
      <c r="J10" s="88"/>
      <c r="K10" s="26"/>
      <c r="L10" s="26"/>
      <c r="M10" s="89"/>
      <c r="N10" s="64" t="n">
        <f aca="false">+F10/$F$29*$N$29</f>
        <v>22000</v>
      </c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'[5]Ercot Trading'!C11+'[5]Ercot Origination'!C11+'[5]Southeast Trading'!C11+'[5]Southeast Origination'!C11+'[5]Midwest Trading'!C11+'[5]Midwest Origination'!C11+'[5]Northeast Trading'!C11+'[5]Northeast Origination'!C11+'[5]Management Book'!C11+[5]Structuring_Fund!C11+[5]Services!C11+[5]Options!C11</f>
        <v>1536343.46</v>
      </c>
      <c r="E11" s="64" t="n">
        <f aca="false">(C11/9)*12</f>
        <v>2048457.94666667</v>
      </c>
      <c r="F11" s="64" t="n">
        <f aca="false">M28*0.2</f>
        <v>112800</v>
      </c>
      <c r="H11" s="91" t="n">
        <f aca="false">E11/$E$23</f>
        <v>0.100583002896276</v>
      </c>
      <c r="J11" s="88" t="s">
        <v>78</v>
      </c>
      <c r="K11" s="49" t="n">
        <f aca="false">(E12+E13+E14+E15+E16+E17+E18+E19+E20+E21+E22)/E29</f>
        <v>31676.1819007092</v>
      </c>
      <c r="L11" s="26" t="n">
        <f aca="false">L28</f>
        <v>6</v>
      </c>
      <c r="M11" s="92" t="n">
        <f aca="false">K11*L11</f>
        <v>190057.091404255</v>
      </c>
      <c r="N11" s="64" t="n">
        <f aca="false">+F11/$F$29*$N$29</f>
        <v>18800</v>
      </c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'[5]Ercot Trading'!C12+'[5]Ercot Origination'!C12+'[5]Southeast Trading'!C12+'[5]Southeast Origination'!C12+'[5]Midwest Trading'!C12+'[5]Midwest Origination'!C12+'[5]Northeast Trading'!C12+'[5]Northeast Origination'!C12+'[5]Management Book'!C12+[5]Structuring_Fund!C12+[5]Services!C12+[5]Options!C12</f>
        <v>556457.2</v>
      </c>
      <c r="E12" s="68" t="n">
        <f aca="false">(C12/9)*12*1.2</f>
        <v>890331.52</v>
      </c>
      <c r="F12" s="64" t="n">
        <f aca="false">E12/$E$29*$L$11</f>
        <v>37886.4476595745</v>
      </c>
      <c r="H12" s="91" t="n">
        <f aca="false">E12/$E$23</f>
        <v>0.0437168934810347</v>
      </c>
      <c r="J12" s="88"/>
      <c r="K12" s="26"/>
      <c r="L12" s="26"/>
      <c r="M12" s="89"/>
      <c r="N12" s="64" t="n">
        <f aca="false">+F12/$F$29*$N$29</f>
        <v>6314.40794326241</v>
      </c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'[5]Ercot Trading'!C13+'[5]Ercot Origination'!C13+'[5]Southeast Trading'!C13+'[5]Southeast Origination'!C13+'[5]Midwest Trading'!C13+'[5]Midwest Origination'!C13+'[5]Northeast Trading'!C13+'[5]Northeast Origination'!C13+'[5]Management Book'!C13+[5]Structuring_Fund!C13+[5]Services!C13+[5]Options!C13</f>
        <v>1014365.41</v>
      </c>
      <c r="E13" s="68" t="n">
        <f aca="false">(C13/9)*12*1.2</f>
        <v>1622984.656</v>
      </c>
      <c r="F13" s="64" t="n">
        <f aca="false">E13/$E$29*$L$11</f>
        <v>69063.1768510638</v>
      </c>
      <c r="H13" s="91" t="n">
        <f aca="false">E13/$E$23</f>
        <v>0.0796914921395861</v>
      </c>
      <c r="J13" s="93" t="s">
        <v>125</v>
      </c>
      <c r="K13" s="94"/>
      <c r="L13" s="94"/>
      <c r="M13" s="95" t="n">
        <f aca="false">M8+M11</f>
        <v>866857.091404255</v>
      </c>
      <c r="N13" s="64" t="n">
        <f aca="false">+F13/$F$29*$N$29</f>
        <v>11510.5294751773</v>
      </c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'[5]Ercot Trading'!C14+'[5]Ercot Origination'!C14+'[5]Southeast Trading'!C14+'[5]Southeast Origination'!C14+'[5]Midwest Trading'!C14+'[5]Midwest Origination'!C14+'[5]Northeast Trading'!C14+'[5]Northeast Origination'!C14+'[5]Management Book'!C14+[5]Structuring_Fund!C14+[5]Services!C14+[5]Options!C14-C32</f>
        <v>0.380000000121072</v>
      </c>
      <c r="E14" s="68" t="n">
        <f aca="false">(C14/9)*12*1.2</f>
        <v>0.608000000193715</v>
      </c>
      <c r="F14" s="64" t="n">
        <f aca="false">E14/$E$29*$L$11</f>
        <v>0.0258723404337751</v>
      </c>
      <c r="H14" s="91" t="n">
        <f aca="false">E14/$E$23</f>
        <v>2.98539034593965E-008</v>
      </c>
      <c r="N14" s="64" t="n">
        <f aca="false">+F14/$F$29*$N$29</f>
        <v>0.00431205673896252</v>
      </c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'[5]Ercot Trading'!C15+'[5]Ercot Origination'!C15+'[5]Southeast Trading'!C15+'[5]Southeast Origination'!C15+'[5]Midwest Trading'!C15+'[5]Midwest Origination'!C15+'[5]Northeast Trading'!C15+'[5]Northeast Origination'!C15+'[5]Management Book'!C15+[5]Structuring_Fund!C15+[5]Services!C15+[5]Options!C15</f>
        <v>93227.13</v>
      </c>
      <c r="E15" s="68" t="n">
        <f aca="false">(C15/9)*12*1.2</f>
        <v>149163.408</v>
      </c>
      <c r="F15" s="64" t="n">
        <f aca="false">E15/$E$29*$L$11</f>
        <v>6347.37906382979</v>
      </c>
      <c r="H15" s="91" t="n">
        <f aca="false">E15/$E$23</f>
        <v>0.00732419404718382</v>
      </c>
      <c r="K15" s="49"/>
      <c r="N15" s="64" t="n">
        <f aca="false">+F15/$F$29*$N$29</f>
        <v>1057.8965106383</v>
      </c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'[5]Ercot Trading'!C16+'[5]Ercot Origination'!C16+'[5]Southeast Trading'!C16+'[5]Southeast Origination'!C16+'[5]Midwest Trading'!C16+'[5]Midwest Origination'!C16+'[5]Northeast Trading'!C16+'[5]Northeast Origination'!C16+'[5]Management Book'!C16+[5]Structuring_Fund!C16+[5]Services!C16+[5]Options!C16</f>
        <v>0</v>
      </c>
      <c r="E16" s="68" t="n">
        <f aca="false">(C16/9)*12*1.2</f>
        <v>0</v>
      </c>
      <c r="F16" s="64" t="n">
        <f aca="false">E16/$E$29*$L$11</f>
        <v>0</v>
      </c>
      <c r="H16" s="91" t="n">
        <f aca="false">E16/$E$23</f>
        <v>0</v>
      </c>
      <c r="J16" s="0" t="s">
        <v>197</v>
      </c>
      <c r="K16" s="49" t="n">
        <v>33600</v>
      </c>
      <c r="L16" s="0" t="n">
        <f aca="false">'[5]Ercot Trading'!K16+'[5]Ercot Origination'!K16+'[5]Southeast Trading'!K16+'[5]Southeast Origination'!K16+'[5]Midwest Trading'!K16+'[5]Midwest Origination'!K16+'[5]Northeast Trading'!K16+'[5]Northeast Origination'!K16+'[5]Management Book'!K16+[5]Structuring_Fund!K16+[5]Services!K16+[5]Options!K16</f>
        <v>0</v>
      </c>
      <c r="M16" s="49" t="n">
        <f aca="false">K16*L16</f>
        <v>0</v>
      </c>
      <c r="N16" s="64" t="n">
        <f aca="false">+F16/$F$29*$N$29</f>
        <v>0</v>
      </c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'[5]Ercot Trading'!C17+'[5]Ercot Origination'!C17+'[5]Southeast Trading'!C17+'[5]Southeast Origination'!C17+'[5]Midwest Trading'!C17+'[5]Midwest Origination'!C17+'[5]Northeast Trading'!C17+'[5]Northeast Origination'!C17+'[5]Management Book'!C17+[5]Structuring_Fund!C17+[5]Services!C17+[5]Options!C17</f>
        <v>5300</v>
      </c>
      <c r="E17" s="68" t="n">
        <f aca="false">(C17/9)*12*1.2</f>
        <v>8480</v>
      </c>
      <c r="F17" s="64" t="n">
        <f aca="false">E17/$E$29*$L$11</f>
        <v>360.851063829787</v>
      </c>
      <c r="H17" s="91" t="n">
        <f aca="false">E17/$E$23</f>
        <v>0.000416383390222076</v>
      </c>
      <c r="J17" s="0" t="s">
        <v>135</v>
      </c>
      <c r="K17" s="49" t="n">
        <v>52800</v>
      </c>
      <c r="L17" s="0" t="n">
        <f aca="false">'[5]Ercot Trading'!K17+'[5]Ercot Origination'!K17+'[5]Southeast Trading'!K17+'[5]Southeast Origination'!K17+'[5]Midwest Trading'!K17+'[5]Midwest Origination'!K17+'[5]Northeast Trading'!K17+'[5]Northeast Origination'!K17+'[5]Management Book'!K17+[5]Structuring_Fund!K17+[5]Services!K17+[5]Options!K17</f>
        <v>0</v>
      </c>
      <c r="M17" s="49" t="n">
        <f aca="false">K17*L17</f>
        <v>0</v>
      </c>
      <c r="N17" s="64" t="n">
        <f aca="false">+F17/$F$29*$N$29</f>
        <v>60.1418439716312</v>
      </c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'[5]Ercot Trading'!C18+'[5]Ercot Origination'!C18+'[5]Southeast Trading'!C18+'[5]Southeast Origination'!C18+'[5]Midwest Trading'!C18+'[5]Midwest Origination'!C18+'[5]Northeast Trading'!C18+'[5]Northeast Origination'!C18+'[5]Management Book'!C18+[5]Structuring_Fund!C18+[5]Services!C18+[5]Options!C18</f>
        <v>287.289999999997</v>
      </c>
      <c r="E18" s="68" t="n">
        <f aca="false">(C18/9)*12*1.2</f>
        <v>459.663999999995</v>
      </c>
      <c r="F18" s="64" t="n">
        <f aca="false">E18/$E$29*$L$11</f>
        <v>19.5601702127657</v>
      </c>
      <c r="H18" s="91" t="n">
        <f aca="false">E18/$E$23</f>
        <v>2.25703366371507E-005</v>
      </c>
      <c r="J18" s="0" t="s">
        <v>138</v>
      </c>
      <c r="K18" s="49" t="n">
        <v>54000</v>
      </c>
      <c r="L18" s="0" t="n">
        <f aca="false">'[5]Ercot Trading'!K18+'[5]Ercot Origination'!K18+'[5]Southeast Trading'!K18+'[5]Southeast Origination'!K18+'[5]Midwest Trading'!K18+'[5]Midwest Origination'!K18+'[5]Northeast Trading'!K18+'[5]Northeast Origination'!K18+'[5]Management Book'!K18+[5]Structuring_Fund!K18+[5]Services!K18+[5]Options!K18</f>
        <v>0</v>
      </c>
      <c r="M18" s="49" t="n">
        <f aca="false">K18*L18</f>
        <v>0</v>
      </c>
      <c r="N18" s="64" t="n">
        <f aca="false">+F18/$F$29*$N$29</f>
        <v>3.26002836879429</v>
      </c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'[5]Ercot Trading'!C19+'[5]Ercot Origination'!C19+'[5]Southeast Trading'!C19+'[5]Southeast Origination'!C19+'[5]Midwest Trading'!C19+'[5]Midwest Origination'!C19+'[5]Northeast Trading'!C19+'[5]Northeast Origination'!C19+'[5]Management Book'!C19+[5]Structuring_Fund!C19+[5]Services!C19+[5]Options!C19</f>
        <v>487149.2</v>
      </c>
      <c r="E19" s="68" t="n">
        <f aca="false">(C19/9)*12*1.2</f>
        <v>779438.72</v>
      </c>
      <c r="F19" s="64" t="n">
        <f aca="false">E19/$E$29*$L$11</f>
        <v>33167.605106383</v>
      </c>
      <c r="H19" s="91" t="n">
        <f aca="false">E19/$E$23</f>
        <v>0.038271855743391</v>
      </c>
      <c r="J19" s="0" t="s">
        <v>141</v>
      </c>
      <c r="K19" s="49" t="n">
        <v>63000</v>
      </c>
      <c r="L19" s="0" t="n">
        <f aca="false">'[5]Ercot Trading'!K19+'[5]Ercot Origination'!K19+'[5]Southeast Trading'!K19+'[5]Southeast Origination'!K19+'[5]Midwest Trading'!K19+'[5]Midwest Origination'!K19+'[5]Northeast Trading'!K19+'[5]Northeast Origination'!K19+'[5]Management Book'!K19+[5]Structuring_Fund!K19+[5]Services!K19+[5]Options!K19</f>
        <v>0</v>
      </c>
      <c r="M19" s="49" t="n">
        <f aca="false">K19*L19</f>
        <v>0</v>
      </c>
      <c r="N19" s="64" t="n">
        <f aca="false">+F19/$F$29*$N$29</f>
        <v>5527.93418439716</v>
      </c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'[5]Ercot Trading'!C20+'[5]Ercot Origination'!C20+'[5]Southeast Trading'!C20+'[5]Southeast Origination'!C20+'[5]Midwest Trading'!C20+'[5]Midwest Origination'!C20+'[5]Northeast Trading'!C20+'[5]Northeast Origination'!C20+'[5]Management Book'!C20+[5]Structuring_Fund!C20+[5]Services!C20+[5]Options!C20</f>
        <v>78.18</v>
      </c>
      <c r="E20" s="68" t="n">
        <f aca="false">(C20/9)*12*1.2</f>
        <v>125.088</v>
      </c>
      <c r="F20" s="64" t="n">
        <f aca="false">E20/$E$29*$L$11</f>
        <v>5.32289361702128</v>
      </c>
      <c r="H20" s="91" t="n">
        <f aca="false">E20/$E$23</f>
        <v>6.1420478202947E-006</v>
      </c>
      <c r="J20" s="0" t="s">
        <v>144</v>
      </c>
      <c r="K20" s="49" t="n">
        <v>78000</v>
      </c>
      <c r="L20" s="0" t="n">
        <f aca="false">3-1</f>
        <v>2</v>
      </c>
      <c r="M20" s="49" t="n">
        <f aca="false">K20*L20</f>
        <v>156000</v>
      </c>
      <c r="N20" s="64" t="n">
        <f aca="false">+F20/$F$29*$N$29</f>
        <v>0.887148936170213</v>
      </c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'[5]Ercot Trading'!C21+'[5]Ercot Origination'!C21+'[5]Southeast Trading'!C21+'[5]Southeast Origination'!C21+'[5]Midwest Trading'!C21+'[5]Midwest Origination'!C21+'[5]Northeast Trading'!C21+'[5]Northeast Origination'!C21+'[5]Management Book'!C21+[5]Structuring_Fund!C21+[5]Services!C21+[5]Options!C21</f>
        <v>633408.5</v>
      </c>
      <c r="E21" s="68" t="n">
        <f aca="false">(C21/9)*12*1.2</f>
        <v>1013453.6</v>
      </c>
      <c r="F21" s="64" t="n">
        <f aca="false">E21/$E$29*$L$11</f>
        <v>43125.685106383</v>
      </c>
      <c r="H21" s="91" t="n">
        <f aca="false">E21/$E$23</f>
        <v>0.0497624110614113</v>
      </c>
      <c r="J21" s="0" t="s">
        <v>147</v>
      </c>
      <c r="K21" s="49" t="n">
        <v>66000</v>
      </c>
      <c r="L21" s="0" t="n">
        <f aca="false">3-1</f>
        <v>2</v>
      </c>
      <c r="M21" s="49" t="n">
        <f aca="false">K21*L21</f>
        <v>132000</v>
      </c>
      <c r="N21" s="64" t="n">
        <f aca="false">+F21/$F$29*$N$29</f>
        <v>7187.61418439716</v>
      </c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'[5]Ercot Trading'!C22+'[5]Ercot Origination'!C22+'[5]Southeast Trading'!C22+'[5]Southeast Origination'!C22+'[5]Midwest Trading'!C22+'[5]Midwest Origination'!C22+'[5]Northeast Trading'!C22+'[5]Northeast Origination'!C22+'[5]Management Book'!C22+[5]Structuring_Fund!C22+[5]Services!C22+[5]Options!C22</f>
        <v>1190.24</v>
      </c>
      <c r="E22" s="68" t="n">
        <f aca="false">(C22/9)*12*1.2</f>
        <v>1904.384</v>
      </c>
      <c r="F22" s="64" t="n">
        <f aca="false">E22/$E$29*$L$11</f>
        <v>81.0376170212766</v>
      </c>
      <c r="H22" s="91" t="n">
        <f aca="false">E22/$E$23</f>
        <v>9.35087106373442E-005</v>
      </c>
      <c r="J22" s="0" t="s">
        <v>150</v>
      </c>
      <c r="K22" s="49" t="n">
        <v>97200</v>
      </c>
      <c r="L22" s="0" t="n">
        <f aca="false">3-3</f>
        <v>0</v>
      </c>
      <c r="M22" s="49" t="n">
        <f aca="false">K22*L22</f>
        <v>0</v>
      </c>
      <c r="N22" s="64" t="n">
        <f aca="false">+F22/$F$29*$N$29</f>
        <v>13.5062695035461</v>
      </c>
    </row>
    <row r="23" customFormat="false" ht="13.5" hidden="false" customHeight="false" outlineLevel="0" collapsed="false">
      <c r="A23" s="72" t="s">
        <v>151</v>
      </c>
      <c r="B23" s="73" t="s">
        <v>152</v>
      </c>
      <c r="C23" s="74" t="n">
        <f aca="false">SUM(C8:C22)</f>
        <v>15081091.79</v>
      </c>
      <c r="E23" s="74" t="n">
        <f aca="false">SUM(E8:E22)</f>
        <v>20365845.9946667</v>
      </c>
      <c r="F23" s="96" t="n">
        <f aca="false">SUM(F8:F22)</f>
        <v>866857.091404255</v>
      </c>
      <c r="H23" s="97" t="n">
        <f aca="false">SUM(H8:H22)</f>
        <v>1</v>
      </c>
      <c r="J23" s="0" t="s">
        <v>153</v>
      </c>
      <c r="K23" s="49" t="n">
        <v>120000</v>
      </c>
      <c r="L23" s="0" t="n">
        <f aca="false">3-2</f>
        <v>1</v>
      </c>
      <c r="M23" s="49" t="n">
        <f aca="false">K23*L23</f>
        <v>120000</v>
      </c>
      <c r="N23" s="96" t="n">
        <f aca="false">SUM(N8:N22)</f>
        <v>144476.181900709</v>
      </c>
    </row>
    <row r="24" customFormat="false" ht="12.75" hidden="false" customHeight="false" outlineLevel="0" collapsed="false">
      <c r="J24" s="0" t="s">
        <v>154</v>
      </c>
      <c r="K24" s="49" t="n">
        <v>156000</v>
      </c>
      <c r="L24" s="0" t="n">
        <v>1</v>
      </c>
      <c r="M24" s="49" t="n">
        <f aca="false">K24*L24</f>
        <v>156000</v>
      </c>
    </row>
    <row r="25" customFormat="false" ht="12.75" hidden="false" customHeight="false" outlineLevel="0" collapsed="false">
      <c r="B25" s="73" t="s">
        <v>7</v>
      </c>
      <c r="C25" s="64"/>
      <c r="E25" s="77" t="n">
        <f aca="false">'[5]Ercot Trading'!E25+'[5]Ercot Origination'!E25+'[5]Southeast Trading'!E25+'[5]Southeast Origination'!E25+'[5]Midwest Trading'!E25+'[5]Midwest Origination'!E25+'[5]Northeast Trading'!E25+'[5]Northeast Origination'!E25+'[5]Management Book'!E25+[5]Structuring_Fund!E25+[5]Services!E25+[5]Options!E25</f>
        <v>91</v>
      </c>
      <c r="F25" s="77" t="n">
        <f aca="false">SUM(L16:L20,L23:L27)</f>
        <v>4</v>
      </c>
      <c r="J25" s="0" t="s">
        <v>155</v>
      </c>
      <c r="K25" s="49" t="n">
        <v>180000</v>
      </c>
      <c r="L25" s="0" t="n">
        <f aca="false">'[5]Ercot Trading'!K25+'[5]Ercot Origination'!K25+'[5]Southeast Trading'!K25+'[5]Southeast Origination'!K25+'[5]Midwest Trading'!K25+'[5]Midwest Origination'!K25+'[5]Northeast Trading'!K25+'[5]Northeast Origination'!K25+'[5]Management Book'!K25+[5]Structuring_Fund!K25+[5]Services!K25+[5]Options!K25</f>
        <v>0</v>
      </c>
      <c r="M25" s="49" t="n">
        <f aca="false">K25*L25</f>
        <v>0</v>
      </c>
      <c r="N25" s="77" t="n">
        <v>1</v>
      </c>
    </row>
    <row r="26" customFormat="false" ht="12.75" hidden="false" customHeight="false" outlineLevel="0" collapsed="false">
      <c r="C26" s="64"/>
      <c r="E26" s="64"/>
      <c r="F26" s="64"/>
      <c r="J26" s="0" t="s">
        <v>156</v>
      </c>
      <c r="K26" s="49" t="n">
        <v>216000</v>
      </c>
      <c r="L26" s="0" t="n">
        <f aca="false">'[5]Ercot Trading'!K26+'[5]Ercot Origination'!K26+'[5]Southeast Trading'!K26+'[5]Southeast Origination'!K26+'[5]Midwest Trading'!K26+'[5]Midwest Origination'!K26+'[5]Northeast Trading'!K26+'[5]Northeast Origination'!K26+'[5]Management Book'!K26+[5]Structuring_Fund!K26+[5]Services!K26+[5]Options!K26</f>
        <v>0</v>
      </c>
      <c r="M26" s="49" t="n">
        <f aca="false">K26*L26</f>
        <v>0</v>
      </c>
      <c r="N26" s="64"/>
    </row>
    <row r="27" customFormat="false" ht="12.75" hidden="false" customHeight="false" outlineLevel="0" collapsed="false">
      <c r="B27" s="73" t="s">
        <v>198</v>
      </c>
      <c r="C27" s="64"/>
      <c r="E27" s="77" t="n">
        <f aca="false">'[5]Ercot Trading'!E27+'[5]Ercot Origination'!E27+'[5]Southeast Trading'!E27+'[5]Southeast Origination'!E27+'[5]Midwest Trading'!E27+'[5]Midwest Origination'!E27+'[5]Northeast Trading'!E27+'[5]Northeast Origination'!E27+'[5]Management Book'!E27+[5]Structuring_Fund!E27+[5]Services!E27+[5]Options!E27</f>
        <v>50</v>
      </c>
      <c r="F27" s="77" t="n">
        <f aca="false">SUM(L21:L22)</f>
        <v>2</v>
      </c>
      <c r="J27" s="0" t="s">
        <v>158</v>
      </c>
      <c r="K27" s="49" t="n">
        <v>240000</v>
      </c>
      <c r="L27" s="0" t="n">
        <f aca="false">'[5]Ercot Trading'!K27+'[5]Ercot Origination'!K27+'[5]Southeast Trading'!K27+'[5]Southeast Origination'!K27+'[5]Midwest Trading'!K27+'[5]Midwest Origination'!K27+'[5]Northeast Trading'!K27+'[5]Northeast Origination'!K27+'[5]Management Book'!K27+[5]Structuring_Fund!K27+[5]Services!K27+[5]Options!K27</f>
        <v>0</v>
      </c>
      <c r="M27" s="49" t="n">
        <f aca="false">K27*L27</f>
        <v>0</v>
      </c>
      <c r="N27" s="77" t="n">
        <f aca="false">SUM(T21:T22)</f>
        <v>0</v>
      </c>
    </row>
    <row r="28" customFormat="false" ht="12.75" hidden="false" customHeight="false" outlineLevel="0" collapsed="false">
      <c r="B28" s="73"/>
      <c r="L28" s="0" t="n">
        <f aca="false">SUM(L16:L27)</f>
        <v>6</v>
      </c>
      <c r="M28" s="49" t="n">
        <f aca="false">SUM(M16:M27)</f>
        <v>564000</v>
      </c>
    </row>
    <row r="29" customFormat="false" ht="12.75" hidden="false" customHeight="false" outlineLevel="0" collapsed="false">
      <c r="B29" s="73" t="s">
        <v>159</v>
      </c>
      <c r="E29" s="98" t="n">
        <f aca="false">SUM(E25:E27)</f>
        <v>141</v>
      </c>
      <c r="F29" s="98" t="n">
        <f aca="false">SUM(F25:F27)</f>
        <v>6</v>
      </c>
      <c r="H29" s="49"/>
      <c r="N29" s="98" t="n">
        <f aca="false">SUM(N25:N27)</f>
        <v>1</v>
      </c>
    </row>
    <row r="31" customFormat="false" ht="12.75" hidden="false" customHeight="false" outlineLevel="0" collapsed="false">
      <c r="I31" s="16" t="s">
        <v>160</v>
      </c>
      <c r="J31" s="49"/>
      <c r="K31" s="49"/>
      <c r="L31" s="49"/>
    </row>
    <row r="32" customFormat="false" ht="12.75" hidden="true" customHeight="false" outlineLevel="0" collapsed="false">
      <c r="B32" s="63" t="s">
        <v>127</v>
      </c>
      <c r="C32" s="64" t="n">
        <v>524067</v>
      </c>
      <c r="J32" s="49"/>
      <c r="K32" s="49"/>
      <c r="L32" s="49"/>
    </row>
    <row r="33" customFormat="false" ht="12.75" hidden="false" customHeight="false" outlineLevel="0" collapsed="false">
      <c r="I33" s="79" t="s">
        <v>161</v>
      </c>
      <c r="J33" s="80" t="s">
        <v>162</v>
      </c>
      <c r="K33" s="80" t="s">
        <v>163</v>
      </c>
      <c r="L33" s="80" t="s">
        <v>106</v>
      </c>
      <c r="M33" s="80" t="s">
        <v>164</v>
      </c>
    </row>
    <row r="34" customFormat="false" ht="12.75" hidden="false" customHeight="false" outlineLevel="0" collapsed="false">
      <c r="I34" s="81" t="n">
        <f aca="false">SUM(E12:E22)</f>
        <v>4466341.648</v>
      </c>
      <c r="J34" s="80" t="n">
        <f aca="false">+E29</f>
        <v>141</v>
      </c>
      <c r="K34" s="80" t="n">
        <f aca="false">+I34/J34</f>
        <v>31676.1819007092</v>
      </c>
      <c r="L34" s="80" t="n">
        <f aca="false">+L11</f>
        <v>6</v>
      </c>
      <c r="M34" s="80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4" activeCellId="0" sqref="R1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49" width="12.85"/>
    <col collapsed="false" customWidth="true" hidden="true" outlineLevel="0" max="10" min="10" style="49" width="11.28"/>
    <col collapsed="false" customWidth="true" hidden="true" outlineLevel="0" max="11" min="11" style="49" width="9.28"/>
    <col collapsed="false" customWidth="true" hidden="true" outlineLevel="0" max="12" min="12" style="49" width="13.14"/>
    <col collapsed="false" customWidth="true" hidden="false" outlineLevel="0" max="14" min="14" style="0" width="10.71"/>
  </cols>
  <sheetData>
    <row r="1" customFormat="false" ht="18" hidden="false" customHeight="false" outlineLevel="0" collapsed="false">
      <c r="B1" s="50" t="str">
        <f aca="false">'[3]Team Report'!B1</f>
        <v>Enron North America</v>
      </c>
      <c r="C1" s="50"/>
      <c r="D1" s="50"/>
      <c r="E1" s="50"/>
      <c r="F1" s="50"/>
      <c r="G1" s="50"/>
      <c r="H1" s="50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customFormat="false" ht="18" hidden="false" customHeight="false" outlineLevel="0" collapsed="false">
      <c r="B2" s="50" t="s">
        <v>183</v>
      </c>
      <c r="C2" s="50"/>
      <c r="D2" s="50"/>
      <c r="E2" s="50"/>
      <c r="F2" s="50"/>
      <c r="G2" s="50"/>
      <c r="H2" s="50"/>
      <c r="I2" s="51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customFormat="false" ht="18.75" hidden="false" customHeight="false" outlineLevel="0" collapsed="false">
      <c r="B3" s="53" t="s">
        <v>1</v>
      </c>
      <c r="C3" s="53"/>
      <c r="D3" s="53"/>
      <c r="E3" s="53"/>
      <c r="F3" s="53"/>
      <c r="G3" s="53"/>
      <c r="H3" s="53"/>
      <c r="I3" s="51"/>
      <c r="J3" s="51"/>
      <c r="K3" s="51"/>
      <c r="L3" s="51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customFormat="false" ht="12.75" hidden="false" customHeight="false" outlineLevel="0" collapsed="false">
      <c r="I4" s="55"/>
      <c r="J4" s="56"/>
      <c r="K4" s="56"/>
      <c r="L4" s="57"/>
    </row>
    <row r="5" customFormat="false" ht="12.75" hidden="false" customHeight="false" outlineLevel="0" collapsed="false">
      <c r="I5" s="58"/>
      <c r="J5" s="49" t="s">
        <v>105</v>
      </c>
      <c r="K5" s="49" t="s">
        <v>106</v>
      </c>
      <c r="L5" s="59" t="s">
        <v>107</v>
      </c>
    </row>
    <row r="6" customFormat="false" ht="12.75" hidden="false" customHeight="false" outlineLevel="0" collapsed="false">
      <c r="C6" s="60" t="n">
        <v>37135</v>
      </c>
      <c r="E6" s="60" t="s">
        <v>108</v>
      </c>
      <c r="G6" s="60" t="s">
        <v>109</v>
      </c>
      <c r="H6" s="60" t="s">
        <v>110</v>
      </c>
      <c r="I6" s="58"/>
      <c r="L6" s="59"/>
      <c r="N6" s="60"/>
    </row>
    <row r="7" customFormat="false" ht="12.75" hidden="false" customHeight="false" outlineLevel="0" collapsed="false">
      <c r="C7" s="61" t="s">
        <v>111</v>
      </c>
      <c r="E7" s="61" t="s">
        <v>112</v>
      </c>
      <c r="G7" s="61" t="s">
        <v>113</v>
      </c>
      <c r="H7" s="61" t="s">
        <v>114</v>
      </c>
      <c r="I7" s="58"/>
      <c r="L7" s="59"/>
      <c r="N7" s="61"/>
    </row>
    <row r="8" customFormat="false" ht="12.75" hidden="false" customHeight="false" outlineLevel="0" collapsed="false">
      <c r="A8" s="62" t="s">
        <v>115</v>
      </c>
      <c r="B8" s="63" t="s">
        <v>116</v>
      </c>
      <c r="C8" s="64" t="n">
        <f aca="false">'[4]Central Trading'!C8+'[4]Central Origination'!C8+[4]Derivatives!C8+'[4]East Trading'!C8+'[4]East Origination'!C8+'[4]Financial Gas'!C8+[4]Structuring!C8+'[4]Texas Trading'!C8+'[4]Texas Origination'!C8+'[4]West Trading'!C8+'[4]West Origination'!C8+[4]Fundamentals!C8</f>
        <v>8647857.66</v>
      </c>
      <c r="E8" s="64" t="n">
        <f aca="false">((C8/9)*12)</f>
        <v>11530476.88</v>
      </c>
      <c r="G8" s="65" t="n">
        <f aca="false">E8/$E$23</f>
        <v>0.528778555954281</v>
      </c>
      <c r="H8" s="64" t="n">
        <v>681120</v>
      </c>
      <c r="I8" s="58" t="s">
        <v>116</v>
      </c>
      <c r="J8" s="49" t="n">
        <v>0</v>
      </c>
      <c r="L8" s="59" t="n">
        <f aca="false">L30</f>
        <v>855360</v>
      </c>
      <c r="N8" s="64"/>
    </row>
    <row r="9" customFormat="false" ht="12.75" hidden="true" customHeight="false" outlineLevel="0" collapsed="false">
      <c r="A9" s="62"/>
      <c r="B9" s="63" t="s">
        <v>117</v>
      </c>
      <c r="C9" s="64" t="n">
        <f aca="false">'[4]Central Trading'!C9+'[4]Central Origination'!C9+[4]Derivatives!C9+'[4]East Trading'!C9+'[4]East Origination'!C9+'[4]Financial Gas'!C9+[4]Structuring!C9+'[4]Texas Trading'!C9+'[4]Texas Origination'!C9+'[4]West Trading'!C9+'[4]West Origination'!C9+[4]Fundamentals!C9</f>
        <v>1485250</v>
      </c>
      <c r="E9" s="64" t="n">
        <v>0</v>
      </c>
      <c r="G9" s="65" t="n">
        <f aca="false">E9/$E$23</f>
        <v>0</v>
      </c>
      <c r="H9" s="64" t="n">
        <v>0</v>
      </c>
      <c r="I9" s="58"/>
      <c r="L9" s="59"/>
      <c r="N9" s="64"/>
    </row>
    <row r="10" customFormat="false" ht="12.75" hidden="false" customHeight="false" outlineLevel="0" collapsed="false">
      <c r="A10" s="62"/>
      <c r="B10" s="63" t="s">
        <v>118</v>
      </c>
      <c r="C10" s="64" t="n">
        <f aca="false">'[4]Central Trading'!C10+'[4]Central Origination'!C10+[4]Derivatives!C10+'[4]East Trading'!C10+'[4]East Origination'!C10+'[4]Financial Gas'!C10+[4]Structuring!C10+'[4]Texas Trading'!C10+'[4]Texas Origination'!C10+'[4]West Trading'!C10+'[4]West Origination'!C10+[4]Fundamentals!C10</f>
        <v>3095252.76</v>
      </c>
      <c r="D10" s="64"/>
      <c r="E10" s="64" t="n">
        <f aca="false">('[4]Central Trading'!E9+'[4]Central Origination'!E10+[4]Derivatives!E10+'[4]East Trading'!E10+'[4]East Origination'!E10+'[4]Financial Gas'!E10+[4]Structuring!E10+'[4]Texas Trading'!E10+'[4]Texas Origination'!E10+'[4]West Trading'!E10+'[4]West Origination'!E10+[4]Fundamentals!E10)-4000000</f>
        <v>82420.9999999995</v>
      </c>
      <c r="G10" s="65" t="n">
        <f aca="false">E10/$E$23</f>
        <v>0.00377976191391553</v>
      </c>
      <c r="H10" s="64" t="n">
        <v>0</v>
      </c>
      <c r="I10" s="58"/>
      <c r="L10" s="59"/>
      <c r="N10" s="64"/>
    </row>
    <row r="11" customFormat="false" ht="12.75" hidden="false" customHeight="false" outlineLevel="0" collapsed="false">
      <c r="A11" s="62" t="s">
        <v>119</v>
      </c>
      <c r="B11" s="63" t="s">
        <v>120</v>
      </c>
      <c r="C11" s="64" t="n">
        <f aca="false">'[4]Central Trading'!C11+'[4]Central Origination'!C11+[4]Derivatives!C11+'[4]East Trading'!C11+'[4]East Origination'!C11+'[4]Financial Gas'!C11+[4]Structuring!C11+'[4]Texas Trading'!C11+'[4]Texas Origination'!C11+'[4]West Trading'!C11+'[4]West Origination'!C11+[4]Fundamentals!C11</f>
        <v>1852307.95</v>
      </c>
      <c r="E11" s="64" t="n">
        <f aca="false">((C11/9)*12)</f>
        <v>2469743.93333333</v>
      </c>
      <c r="G11" s="65" t="n">
        <f aca="false">E11/$E$23</f>
        <v>0.113260504681299</v>
      </c>
      <c r="H11" s="64" t="n">
        <v>140304</v>
      </c>
      <c r="I11" s="58" t="s">
        <v>78</v>
      </c>
      <c r="J11" s="49" t="n">
        <f aca="false">(E12+E13+E14+E15+E16+E17+E18+E19+E20+E21+E22)/E29</f>
        <v>48270.18125</v>
      </c>
      <c r="K11" s="49" t="n">
        <f aca="false">K28</f>
        <v>4</v>
      </c>
      <c r="L11" s="59" t="n">
        <f aca="false">J11*K11</f>
        <v>193080.725</v>
      </c>
      <c r="N11" s="64"/>
    </row>
    <row r="12" customFormat="false" ht="12.75" hidden="false" customHeight="false" outlineLevel="0" collapsed="false">
      <c r="A12" s="62" t="s">
        <v>121</v>
      </c>
      <c r="B12" s="63" t="s">
        <v>122</v>
      </c>
      <c r="C12" s="64" t="n">
        <f aca="false">'[4]Central Trading'!C12+'[4]Central Origination'!C12+[4]Derivatives!C12+'[4]East Trading'!C12+'[4]East Origination'!C12+'[4]Financial Gas'!C12+[4]Structuring!C12+'[4]Texas Trading'!C12+'[4]Texas Origination'!C12+'[4]West Trading'!C12+'[4]West Origination'!C12+[4]Fundamentals!C12</f>
        <v>1114496.85</v>
      </c>
      <c r="E12" s="68" t="n">
        <f aca="false">((C12/9)*12)-500000</f>
        <v>985995.8</v>
      </c>
      <c r="G12" s="65" t="n">
        <f aca="false">E12/$E$23</f>
        <v>0.0452169880506265</v>
      </c>
      <c r="H12" s="64" t="n">
        <v>36000</v>
      </c>
      <c r="I12" s="58"/>
      <c r="L12" s="59"/>
      <c r="N12" s="64"/>
    </row>
    <row r="13" customFormat="false" ht="13.5" hidden="false" customHeight="false" outlineLevel="0" collapsed="false">
      <c r="A13" s="62" t="s">
        <v>123</v>
      </c>
      <c r="B13" s="63" t="s">
        <v>124</v>
      </c>
      <c r="C13" s="64" t="n">
        <f aca="false">'[4]Central Trading'!C13+'[4]Central Origination'!C13+[4]Derivatives!C13+'[4]East Trading'!C13+'[4]East Origination'!C13+'[4]Financial Gas'!C13+[4]Structuring!C13+'[4]Texas Trading'!C13+'[4]Texas Origination'!C13+'[4]West Trading'!C13+'[4]West Origination'!C13+[4]Fundamentals!C13</f>
        <v>1408194.83</v>
      </c>
      <c r="E13" s="68" t="n">
        <f aca="false">((C13/9)*12)-500000-500000</f>
        <v>877593.106666667</v>
      </c>
      <c r="G13" s="65" t="n">
        <f aca="false">E13/$E$23</f>
        <v>0.0402457262165406</v>
      </c>
      <c r="H13" s="64" t="n">
        <v>270000</v>
      </c>
      <c r="I13" s="69" t="s">
        <v>125</v>
      </c>
      <c r="J13" s="70"/>
      <c r="K13" s="70"/>
      <c r="L13" s="71" t="n">
        <f aca="false">L8+L11</f>
        <v>1048440.725</v>
      </c>
      <c r="N13" s="64"/>
    </row>
    <row r="14" customFormat="false" ht="12.75" hidden="false" customHeight="false" outlineLevel="0" collapsed="false">
      <c r="A14" s="62" t="s">
        <v>126</v>
      </c>
      <c r="B14" s="63" t="s">
        <v>127</v>
      </c>
      <c r="C14" s="64" t="n">
        <f aca="false">'[4]Central Trading'!C14+'[4]Central Origination'!C14+[4]Derivatives!C14+'[4]East Trading'!C14+'[4]East Origination'!C14+'[4]Financial Gas'!C14+[4]Structuring!C14+'[4]Texas Trading'!C14+'[4]Texas Origination'!C14+'[4]West Trading'!C14+'[4]West Origination'!C14+[4]Fundamentals!C14-C32</f>
        <v>0.240000000019791</v>
      </c>
      <c r="E14" s="68" t="n">
        <f aca="false">(C14/9)*12</f>
        <v>0.320000000026387</v>
      </c>
      <c r="G14" s="65" t="n">
        <f aca="false">E14/$E$23</f>
        <v>1.46749470711677E-008</v>
      </c>
      <c r="H14" s="64" t="n">
        <v>0</v>
      </c>
      <c r="N14" s="64"/>
    </row>
    <row r="15" customFormat="false" ht="12.75" hidden="false" customHeight="false" outlineLevel="0" collapsed="false">
      <c r="A15" s="62" t="s">
        <v>128</v>
      </c>
      <c r="B15" s="63" t="s">
        <v>129</v>
      </c>
      <c r="C15" s="64" t="n">
        <f aca="false">'[4]Central Trading'!C15+'[4]Central Origination'!C15+[4]Derivatives!C15+'[4]East Trading'!C15+'[4]East Origination'!C15+'[4]Financial Gas'!C15+[4]Structuring!C15+'[4]Texas Trading'!C15+'[4]Texas Origination'!C15+'[4]West Trading'!C15+'[4]West Origination'!C15+[4]Fundamentals!C15</f>
        <v>160813</v>
      </c>
      <c r="E15" s="68" t="n">
        <f aca="false">((C15/9)*12)-75000</f>
        <v>139417.333333333</v>
      </c>
      <c r="G15" s="65" t="n">
        <f aca="false">E15/$E$23</f>
        <v>0.00639356871031657</v>
      </c>
      <c r="H15" s="64" t="n">
        <v>24000</v>
      </c>
      <c r="N15" s="64"/>
    </row>
    <row r="16" customFormat="false" ht="12.75" hidden="false" customHeight="false" outlineLevel="0" collapsed="false">
      <c r="A16" s="62" t="s">
        <v>130</v>
      </c>
      <c r="B16" s="63" t="s">
        <v>131</v>
      </c>
      <c r="C16" s="64" t="n">
        <f aca="false">'[4]Central Trading'!C16+'[4]Central Origination'!C16+[4]Derivatives!C16+'[4]East Trading'!C16+'[4]East Origination'!C16+'[4]Financial Gas'!C16+[4]Structuring!C16+'[4]Texas Trading'!C16+'[4]Texas Origination'!C16+'[4]West Trading'!C16+'[4]West Origination'!C16+[4]Fundamentals!C16</f>
        <v>0</v>
      </c>
      <c r="E16" s="68" t="n">
        <f aca="false">(C16/9)*12</f>
        <v>0</v>
      </c>
      <c r="G16" s="65" t="n">
        <f aca="false">E16/$E$23</f>
        <v>0</v>
      </c>
      <c r="H16" s="64" t="n">
        <v>0</v>
      </c>
      <c r="I16" s="49" t="s">
        <v>132</v>
      </c>
      <c r="J16" s="49" t="n">
        <v>33000</v>
      </c>
      <c r="K16" s="49" t="n">
        <f aca="false">1-1</f>
        <v>0</v>
      </c>
      <c r="L16" s="49" t="n">
        <f aca="false">J16*K16</f>
        <v>0</v>
      </c>
      <c r="N16" s="64"/>
    </row>
    <row r="17" customFormat="false" ht="12.75" hidden="false" customHeight="false" outlineLevel="0" collapsed="false">
      <c r="A17" s="62" t="s">
        <v>133</v>
      </c>
      <c r="B17" s="63" t="s">
        <v>134</v>
      </c>
      <c r="C17" s="64" t="n">
        <f aca="false">'[4]Central Trading'!C17+'[4]Central Origination'!C17+[4]Derivatives!C17+'[4]East Trading'!C17+'[4]East Origination'!C17+'[4]Financial Gas'!C17+[4]Structuring!C17+'[4]Texas Trading'!C17+'[4]Texas Origination'!C17+'[4]West Trading'!C17+'[4]West Origination'!C17+[4]Fundamentals!C17</f>
        <v>5900</v>
      </c>
      <c r="E17" s="68" t="n">
        <f aca="false">((C17/9)*12)</f>
        <v>7866.66666666667</v>
      </c>
      <c r="G17" s="65" t="n">
        <f aca="false">E17/$E$23</f>
        <v>0.000360759115469791</v>
      </c>
      <c r="H17" s="64" t="n">
        <v>6000</v>
      </c>
      <c r="I17" s="49" t="s">
        <v>135</v>
      </c>
      <c r="J17" s="49" t="n">
        <v>48400</v>
      </c>
      <c r="K17" s="49" t="n">
        <v>0</v>
      </c>
      <c r="L17" s="49" t="n">
        <f aca="false">J17*K17</f>
        <v>0</v>
      </c>
      <c r="N17" s="64"/>
    </row>
    <row r="18" customFormat="false" ht="12.75" hidden="false" customHeight="false" outlineLevel="0" collapsed="false">
      <c r="A18" s="62" t="s">
        <v>136</v>
      </c>
      <c r="B18" s="63" t="s">
        <v>137</v>
      </c>
      <c r="C18" s="64" t="n">
        <f aca="false">'[4]Central Trading'!C18+'[4]Central Origination'!C18+[4]Derivatives!C18+'[4]East Trading'!C18+'[4]East Origination'!C18+'[4]Financial Gas'!C18+[4]Structuring!C18+'[4]Texas Trading'!C18+'[4]Texas Origination'!C18+'[4]West Trading'!C18+'[4]West Origination'!C18+[4]Fundamentals!C18</f>
        <v>350904.92</v>
      </c>
      <c r="E18" s="68" t="n">
        <f aca="false">((C18/9)*12)-250000-75000</f>
        <v>142873.226666667</v>
      </c>
      <c r="G18" s="65" t="n">
        <f aca="false">E18/$E$23</f>
        <v>0.00655205324702309</v>
      </c>
      <c r="H18" s="64" t="n">
        <v>0</v>
      </c>
      <c r="I18" s="49" t="s">
        <v>138</v>
      </c>
      <c r="J18" s="49" t="n">
        <v>49500</v>
      </c>
      <c r="K18" s="49" t="n">
        <v>0</v>
      </c>
      <c r="L18" s="49" t="n">
        <f aca="false">J18*K18</f>
        <v>0</v>
      </c>
      <c r="N18" s="64"/>
    </row>
    <row r="19" customFormat="false" ht="12.75" hidden="false" customHeight="false" outlineLevel="0" collapsed="false">
      <c r="A19" s="62" t="s">
        <v>139</v>
      </c>
      <c r="B19" s="63" t="s">
        <v>140</v>
      </c>
      <c r="C19" s="64" t="n">
        <f aca="false">'[4]Central Trading'!C19+'[4]Central Origination'!C19+[4]Derivatives!C19+'[4]East Trading'!C19+'[4]East Origination'!C19+'[4]Financial Gas'!C19+[4]Structuring!C19+'[4]Texas Trading'!C19+'[4]Texas Origination'!C19+'[4]West Trading'!C19+'[4]West Origination'!C19+[4]Fundamentals!C19</f>
        <v>277960.32</v>
      </c>
      <c r="E19" s="68" t="n">
        <f aca="false">((C19/9)*12)-75000-75000-50000-25000</f>
        <v>145613.76</v>
      </c>
      <c r="G19" s="65" t="n">
        <f aca="false">E19/$E$23</f>
        <v>0.00667773193955472</v>
      </c>
      <c r="H19" s="64" t="n">
        <v>24000</v>
      </c>
      <c r="I19" s="49" t="s">
        <v>141</v>
      </c>
      <c r="J19" s="49" t="n">
        <v>57750</v>
      </c>
      <c r="K19" s="49" t="n">
        <v>0</v>
      </c>
      <c r="L19" s="49" t="n">
        <f aca="false">J19*K19</f>
        <v>0</v>
      </c>
      <c r="N19" s="64"/>
    </row>
    <row r="20" customFormat="false" ht="12.75" hidden="false" customHeight="false" outlineLevel="0" collapsed="false">
      <c r="A20" s="62" t="s">
        <v>142</v>
      </c>
      <c r="B20" s="63" t="s">
        <v>143</v>
      </c>
      <c r="C20" s="64" t="n">
        <f aca="false">'[4]Central Trading'!C20+'[4]Central Origination'!C20+[4]Derivatives!C20+'[4]East Trading'!C20+'[4]East Origination'!C20+'[4]Financial Gas'!C20+[4]Structuring!C20+'[4]Texas Trading'!C20+'[4]Texas Origination'!C20+'[4]West Trading'!C20+'[4]West Origination'!C20+[4]Fundamentals!C20</f>
        <v>16</v>
      </c>
      <c r="E20" s="68" t="n">
        <f aca="false">((C20/9)*12)</f>
        <v>21.3333333333333</v>
      </c>
      <c r="G20" s="65" t="n">
        <f aca="false">E20/$E$23</f>
        <v>9.7832980466384E-007</v>
      </c>
      <c r="H20" s="64" t="n">
        <v>0</v>
      </c>
      <c r="I20" s="49" t="s">
        <v>144</v>
      </c>
      <c r="J20" s="49" t="n">
        <v>71500</v>
      </c>
      <c r="K20" s="49" t="n">
        <v>0</v>
      </c>
      <c r="L20" s="49" t="n">
        <f aca="false">J20*K20</f>
        <v>0</v>
      </c>
      <c r="N20" s="64"/>
    </row>
    <row r="21" customFormat="false" ht="12.75" hidden="false" customHeight="false" outlineLevel="0" collapsed="false">
      <c r="A21" s="62" t="s">
        <v>145</v>
      </c>
      <c r="B21" s="63" t="s">
        <v>146</v>
      </c>
      <c r="C21" s="64" t="n">
        <f aca="false">'[4]Central Trading'!C21+'[4]Central Origination'!C21+[4]Derivatives!C21+'[4]East Trading'!C21+'[4]East Origination'!C21+'[4]Financial Gas'!C21+[4]Structuring!C21+'[4]Texas Trading'!C21+'[4]Texas Origination'!C21+'[4]West Trading'!C21+'[4]West Origination'!C21+[4]Fundamentals!C21</f>
        <v>192038.91</v>
      </c>
      <c r="E21" s="68" t="n">
        <f aca="false">((C21/9)*12)-75000</f>
        <v>181051.88</v>
      </c>
      <c r="G21" s="65" t="n">
        <f aca="false">E21/$E$23</f>
        <v>0.00830289611223848</v>
      </c>
      <c r="H21" s="64" t="n">
        <v>6782.4</v>
      </c>
      <c r="I21" s="49" t="s">
        <v>147</v>
      </c>
      <c r="J21" s="49" t="n">
        <v>60500</v>
      </c>
      <c r="K21" s="49" t="n">
        <v>0</v>
      </c>
      <c r="L21" s="49" t="n">
        <f aca="false">J21*K21</f>
        <v>0</v>
      </c>
      <c r="N21" s="64"/>
    </row>
    <row r="22" customFormat="false" ht="12.75" hidden="false" customHeight="false" outlineLevel="0" collapsed="false">
      <c r="A22" s="62" t="s">
        <v>148</v>
      </c>
      <c r="B22" s="63" t="s">
        <v>149</v>
      </c>
      <c r="C22" s="64" t="n">
        <f aca="false">'[4]Central Trading'!C22+'[4]Central Origination'!C22+[4]Derivatives!C22+'[4]East Trading'!C22+'[4]East Origination'!C22+'[4]Financial Gas'!C22+[4]Structuring!C22+'[4]Texas Trading'!C22+'[4]Texas Origination'!C22+'[4]West Trading'!C22+'[4]West Origination'!C22+[4]Fundamentals!C22</f>
        <v>4757096.68</v>
      </c>
      <c r="E22" s="68" t="n">
        <f aca="false">((C22/9)*12)-1000000-100000</f>
        <v>5242795.57333334</v>
      </c>
      <c r="G22" s="65" t="n">
        <f aca="false">E22/$E$23</f>
        <v>0.240430461053984</v>
      </c>
      <c r="H22" s="64" t="n">
        <v>0</v>
      </c>
      <c r="I22" s="49" t="s">
        <v>150</v>
      </c>
      <c r="J22" s="49" t="n">
        <v>89100</v>
      </c>
      <c r="K22" s="49" t="n">
        <v>0</v>
      </c>
      <c r="L22" s="49" t="n">
        <f aca="false">J22*K22</f>
        <v>0</v>
      </c>
      <c r="N22" s="64"/>
    </row>
    <row r="23" customFormat="false" ht="12.75" hidden="false" customHeight="false" outlineLevel="0" collapsed="false">
      <c r="A23" s="72" t="s">
        <v>151</v>
      </c>
      <c r="B23" s="73" t="s">
        <v>152</v>
      </c>
      <c r="C23" s="74" t="n">
        <f aca="false">SUM(C8:C22)</f>
        <v>23348090.12</v>
      </c>
      <c r="E23" s="74" t="n">
        <f aca="false">SUM(E8:E22)</f>
        <v>21805870.8133333</v>
      </c>
      <c r="G23" s="75" t="n">
        <f aca="false">E23/$E$23</f>
        <v>1</v>
      </c>
      <c r="H23" s="74" t="n">
        <f aca="false">SUM(H8:H22)</f>
        <v>1188206.4</v>
      </c>
      <c r="I23" s="49" t="s">
        <v>153</v>
      </c>
      <c r="J23" s="49" t="n">
        <v>110000</v>
      </c>
      <c r="K23" s="49" t="n">
        <v>1</v>
      </c>
      <c r="L23" s="49" t="n">
        <f aca="false">J23*K23</f>
        <v>110000</v>
      </c>
      <c r="N23" s="76"/>
    </row>
    <row r="24" customFormat="false" ht="12.75" hidden="false" customHeight="false" outlineLevel="0" collapsed="false">
      <c r="I24" s="49" t="s">
        <v>154</v>
      </c>
      <c r="J24" s="49" t="n">
        <v>143000</v>
      </c>
      <c r="K24" s="49" t="n">
        <f aca="false">1+1</f>
        <v>2</v>
      </c>
      <c r="L24" s="49" t="n">
        <f aca="false">J24*K24</f>
        <v>286000</v>
      </c>
      <c r="N24" s="26"/>
    </row>
    <row r="25" customFormat="false" ht="12.75" hidden="false" customHeight="false" outlineLevel="0" collapsed="false">
      <c r="B25" s="73" t="s">
        <v>7</v>
      </c>
      <c r="C25" s="64"/>
      <c r="E25" s="77" t="n">
        <f aca="false">'[4]Central Trading'!E25+'[4]Central Origination'!E25+[4]Derivatives!E25+'[4]East Trading'!E25+'[4]East Origination'!E25+'[4]Financial Gas'!E25+[4]Structuring!E25+'[4]Texas Trading'!E25+'[4]Texas Origination'!E25+'[4]West Trading'!E25+'[4]West Origination'!E25+[4]Fundamentals!E25</f>
        <v>108</v>
      </c>
      <c r="H25" s="77" t="n">
        <f aca="false">+K16+K17+K18+K19+K20+K23+K24+K25+K26+K27</f>
        <v>4</v>
      </c>
      <c r="I25" s="49" t="s">
        <v>155</v>
      </c>
      <c r="J25" s="49" t="n">
        <v>165000</v>
      </c>
      <c r="K25" s="49" t="n">
        <v>0</v>
      </c>
      <c r="L25" s="49" t="n">
        <f aca="false">J25*K25</f>
        <v>0</v>
      </c>
      <c r="N25" s="64"/>
    </row>
    <row r="26" customFormat="false" ht="12.75" hidden="false" customHeight="false" outlineLevel="0" collapsed="false">
      <c r="C26" s="64"/>
      <c r="E26" s="64"/>
      <c r="H26" s="64"/>
      <c r="I26" s="49" t="s">
        <v>156</v>
      </c>
      <c r="J26" s="49" t="n">
        <v>198000</v>
      </c>
      <c r="K26" s="49" t="n">
        <v>1</v>
      </c>
      <c r="L26" s="49" t="n">
        <f aca="false">J26*K26</f>
        <v>198000</v>
      </c>
      <c r="N26" s="64"/>
    </row>
    <row r="27" customFormat="false" ht="12.75" hidden="false" customHeight="false" outlineLevel="0" collapsed="false">
      <c r="B27" s="73" t="s">
        <v>157</v>
      </c>
      <c r="C27" s="64"/>
      <c r="E27" s="77" t="n">
        <f aca="false">'[4]Central Trading'!E27+'[4]Central Origination'!E27+[4]Derivatives!E27+'[4]East Trading'!E27+'[4]East Origination'!E27+'[4]Financial Gas'!E27+[4]Structuring!E27+'[4]Texas Trading'!E27+'[4]Texas Origination'!E27+'[4]West Trading'!E27+'[4]West Origination'!E27+[4]Fundamentals!E27</f>
        <v>52</v>
      </c>
      <c r="H27" s="77" t="n">
        <f aca="false">+K21+K22</f>
        <v>0</v>
      </c>
      <c r="I27" s="49" t="s">
        <v>158</v>
      </c>
      <c r="J27" s="49" t="n">
        <v>220000</v>
      </c>
      <c r="K27" s="49" t="n">
        <v>0</v>
      </c>
      <c r="L27" s="49" t="n">
        <f aca="false">J27*K27</f>
        <v>0</v>
      </c>
      <c r="N27" s="64"/>
    </row>
    <row r="28" customFormat="false" ht="12.75" hidden="false" customHeight="false" outlineLevel="0" collapsed="false">
      <c r="K28" s="49" t="n">
        <f aca="false">SUM(K16:K27)</f>
        <v>4</v>
      </c>
      <c r="L28" s="49" t="n">
        <f aca="false">SUM(L16:L27)*1.2</f>
        <v>712800</v>
      </c>
      <c r="N28" s="26"/>
    </row>
    <row r="29" customFormat="false" ht="12.75" hidden="false" customHeight="false" outlineLevel="0" collapsed="false">
      <c r="B29" s="73" t="s">
        <v>159</v>
      </c>
      <c r="C29" s="64"/>
      <c r="E29" s="77" t="n">
        <f aca="false">SUM(E25:E27)</f>
        <v>160</v>
      </c>
      <c r="G29" s="49"/>
      <c r="H29" s="77" t="n">
        <f aca="false">SUM(H25:H27)</f>
        <v>4</v>
      </c>
      <c r="L29" s="78" t="n">
        <v>0.2</v>
      </c>
      <c r="N29" s="64"/>
    </row>
    <row r="30" customFormat="false" ht="12.75" hidden="true" customHeight="false" outlineLevel="0" collapsed="false">
      <c r="L30" s="49" t="n">
        <f aca="false">L28*1.2</f>
        <v>855360</v>
      </c>
      <c r="N30" s="26"/>
    </row>
    <row r="31" customFormat="false" ht="12.75" hidden="true" customHeight="false" outlineLevel="0" collapsed="false">
      <c r="H31" s="16" t="s">
        <v>160</v>
      </c>
      <c r="L31" s="0"/>
      <c r="N31" s="26"/>
    </row>
    <row r="32" customFormat="false" ht="12.75" hidden="true" customHeight="false" outlineLevel="0" collapsed="false">
      <c r="B32" s="63" t="s">
        <v>127</v>
      </c>
      <c r="C32" s="64" t="n">
        <v>254512</v>
      </c>
      <c r="L32" s="0"/>
      <c r="N32" s="26"/>
    </row>
    <row r="33" customFormat="false" ht="12.75" hidden="true" customHeight="false" outlineLevel="0" collapsed="false">
      <c r="H33" s="79" t="s">
        <v>161</v>
      </c>
      <c r="I33" s="80" t="s">
        <v>162</v>
      </c>
      <c r="J33" s="80" t="s">
        <v>163</v>
      </c>
      <c r="K33" s="80" t="s">
        <v>106</v>
      </c>
      <c r="L33" s="80" t="s">
        <v>164</v>
      </c>
      <c r="N33" s="26"/>
    </row>
    <row r="34" customFormat="false" ht="12.75" hidden="true" customHeight="false" outlineLevel="0" collapsed="false">
      <c r="H34" s="81" t="n">
        <f aca="false">SUM(E12:E22)</f>
        <v>7723229</v>
      </c>
      <c r="I34" s="80" t="n">
        <f aca="false">+E29</f>
        <v>160</v>
      </c>
      <c r="J34" s="80" t="n">
        <f aca="false">+H34/I34</f>
        <v>48270.18125</v>
      </c>
      <c r="K34" s="80" t="n">
        <f aca="false">+K11</f>
        <v>4</v>
      </c>
      <c r="L34" s="80" t="n">
        <f aca="false">+J34*K34</f>
        <v>193080.725</v>
      </c>
      <c r="N34" s="26"/>
    </row>
    <row r="35" customFormat="false" ht="12.75" hidden="true" customHeight="false" outlineLevel="0" collapsed="false">
      <c r="N35" s="26"/>
    </row>
    <row r="36" customFormat="false" ht="12.75" hidden="true" customHeight="false" outlineLevel="0" collapsed="false">
      <c r="N36" s="26"/>
    </row>
    <row r="37" customFormat="false" ht="12.75" hidden="true" customHeight="false" outlineLevel="0" collapsed="false">
      <c r="N37" s="26"/>
    </row>
    <row r="38" customFormat="false" ht="12.75" hidden="true" customHeight="false" outlineLevel="0" collapsed="false">
      <c r="N38" s="26"/>
    </row>
    <row r="39" customFormat="false" ht="12.75" hidden="false" customHeight="false" outlineLevel="0" collapsed="false">
      <c r="N39" s="2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dvandor</cp:lastModifiedBy>
  <cp:lastPrinted>2002-01-08T18:54:30Z</cp:lastPrinted>
  <dcterms:modified xsi:type="dcterms:W3CDTF">2002-01-08T18:57:14Z</dcterms:modified>
  <cp:revision>0</cp:revision>
  <dc:subject/>
  <dc:title/>
</cp:coreProperties>
</file>