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49.xml" ContentType="application/vnd.openxmlformats-officedocument.spreadsheetml.comments+xml"/>
  <Override PartName="/xl/comments59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comments58.xml" ContentType="application/vnd.openxmlformats-officedocument.spreadsheetml.comments+xml"/>
  <Override PartName="/xl/sharedStrings.xml" ContentType="application/vnd.openxmlformats-officedocument.spreadsheetml.sharedStrings+xml"/>
  <Override PartName="/xl/comments41.xml" ContentType="application/vnd.openxmlformats-officedocument.spreadsheetml.comments+xml"/>
  <Override PartName="/xl/externalLinks/externalLink9.xml" ContentType="application/vnd.openxmlformats-officedocument.spreadsheetml.externalLink+xml"/>
  <Override PartName="/xl/externalLinks/_rels/externalLink3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19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.xml" ContentType="application/vnd.openxmlformats-officedocument.spreadsheetml.externalLink+xml"/>
  <Override PartName="/xl/worksheets/_rels/sheet59.xml.rels" ContentType="application/vnd.openxmlformats-package.relationships+xml"/>
  <Override PartName="/xl/worksheets/_rels/sheet58.xml.rels" ContentType="application/vnd.openxmlformats-package.relationships+xml"/>
  <Override PartName="/xl/worksheets/_rels/sheet57.xml.rels" ContentType="application/vnd.openxmlformats-package.relationships+xml"/>
  <Override PartName="/xl/worksheets/_rels/sheet49.xml.rels" ContentType="application/vnd.openxmlformats-package.relationships+xml"/>
  <Override PartName="/xl/worksheets/_rels/sheet41.xml.rels" ContentType="application/vnd.openxmlformats-package.relationships+xml"/>
  <Override PartName="/xl/worksheets/_rels/sheet50.xml.rels" ContentType="application/vnd.openxmlformats-package.relationships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3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46.xml" ContentType="application/vnd.openxmlformats-officedocument.spreadsheetml.worksheet+xml"/>
  <Override PartName="/xl/worksheets/sheet49.xml" ContentType="application/vnd.openxmlformats-officedocument.spreadsheetml.worksheet+xml"/>
  <Override PartName="/xl/worksheets/sheet12.xml" ContentType="application/vnd.openxmlformats-officedocument.spreadsheetml.worksheet+xml"/>
  <Override PartName="/xl/worksheets/sheet66.xml" ContentType="application/vnd.openxmlformats-officedocument.spreadsheetml.worksheet+xml"/>
  <Override PartName="/xl/worksheets/sheet4.xml" ContentType="application/vnd.openxmlformats-officedocument.spreadsheetml.worksheet+xml"/>
  <Override PartName="/xl/worksheets/sheet63.xml" ContentType="application/vnd.openxmlformats-officedocument.spreadsheetml.worksheet+xml"/>
  <Override PartName="/xl/worksheets/sheet3.xml" ContentType="application/vnd.openxmlformats-officedocument.spreadsheetml.worksheet+xml"/>
  <Override PartName="/xl/worksheets/sheet62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60.xml" ContentType="application/vnd.openxmlformats-officedocument.spreadsheetml.worksheet+xml"/>
  <Override PartName="/xl/worksheets/sheet7.xml" ContentType="application/vnd.openxmlformats-officedocument.spreadsheetml.worksheet+xml"/>
  <Override PartName="/xl/worksheets/sheet22.xml" ContentType="application/vnd.openxmlformats-officedocument.spreadsheetml.worksheet+xml"/>
  <Override PartName="/xl/worksheets/sheet59.xml" ContentType="application/vnd.openxmlformats-officedocument.spreadsheetml.worksheet+xml"/>
  <Override PartName="/xl/worksheets/sheet57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61.xml" ContentType="application/vnd.openxmlformats-officedocument.spreadsheetml.worksheet+xml"/>
  <Override PartName="/xl/worksheets/sheet67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65.xml" ContentType="application/vnd.openxmlformats-officedocument.spreadsheetml.worksheet+xml"/>
  <Override PartName="/xl/worksheets/sheet28.xml" ContentType="application/vnd.openxmlformats-officedocument.spreadsheetml.worksheet+xml"/>
  <Override PartName="/xl/worksheets/sheet64.xml" ContentType="application/vnd.openxmlformats-officedocument.spreadsheetml.worksheet+xml"/>
  <Override PartName="/xl/worksheets/sheet20.xml" ContentType="application/vnd.openxmlformats-officedocument.spreadsheetml.worksheet+xml"/>
  <Override PartName="/xl/worksheets/sheet5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58.xml" ContentType="application/vnd.openxmlformats-officedocument.spreadsheetml.worksheet+xml"/>
  <Override PartName="/xl/worksheets/sheet6.xml" ContentType="application/vnd.openxmlformats-officedocument.spreadsheetml.worksheet+xml"/>
  <Override PartName="/xl/worksheets/sheet21.xml" ContentType="application/vnd.openxmlformats-officedocument.spreadsheetml.worksheet+xml"/>
  <Override PartName="/xl/worksheets/sheet25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2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comments57.xml" ContentType="application/vnd.openxmlformats-officedocument.spreadsheetml.comments+xml"/>
  <Override PartName="/xl/styles.xml" ContentType="application/vnd.openxmlformats-officedocument.spreadsheetml.styles+xml"/>
  <Override PartName="/xl/comments50.xml" ContentType="application/vnd.openxmlformats-officedocument.spreadsheetml.comments+xml"/>
  <Override PartName="/xl/theme/theme1.xml" ContentType="application/vnd.openxmlformats-officedocument.theme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2002 Revised" sheetId="1" state="visible" r:id="rId3"/>
    <sheet name="Summary 2002" sheetId="2" state="hidden" r:id="rId4"/>
    <sheet name="Texas-Trading w-o AA" sheetId="3" state="visible" r:id="rId5"/>
    <sheet name="East-Trading w-o AA" sheetId="4" state="visible" r:id="rId6"/>
    <sheet name="Central-Trading w-o AA" sheetId="5" state="visible" r:id="rId7"/>
    <sheet name="West-Trading w-o AA" sheetId="6" state="visible" r:id="rId8"/>
    <sheet name="Financial w-o AA" sheetId="7" state="visible" r:id="rId9"/>
    <sheet name="Texas - Orig" sheetId="8" state="visible" r:id="rId10"/>
    <sheet name="East - Orig" sheetId="9" state="visible" r:id="rId11"/>
    <sheet name="Central Gas - Orig" sheetId="10" state="visible" r:id="rId12"/>
    <sheet name="West - Orig" sheetId="11" state="visible" r:id="rId13"/>
    <sheet name="Derivatives w-o  AA" sheetId="12" state="visible" r:id="rId14"/>
    <sheet name="Mexico" sheetId="13" state="visible" r:id="rId15"/>
    <sheet name="Crude" sheetId="14" state="visible" r:id="rId16"/>
    <sheet name="East-Trading AA" sheetId="15" state="hidden" r:id="rId17"/>
    <sheet name="West-Trading AA" sheetId="16" state="hidden" r:id="rId18"/>
    <sheet name="Texas-Trading AA" sheetId="17" state="hidden" r:id="rId19"/>
    <sheet name="Financial - AA" sheetId="18" state="hidden" r:id="rId20"/>
    <sheet name="Derivatives AA" sheetId="19" state="hidden" r:id="rId21"/>
    <sheet name="Central - Trading AA" sheetId="20" state="hidden" r:id="rId22"/>
    <sheet name="Financial Gas" sheetId="21" state="hidden" r:id="rId23"/>
    <sheet name="East Power" sheetId="22" state="hidden" r:id="rId24"/>
    <sheet name="East Power Trading" sheetId="23" state="visible" r:id="rId25"/>
    <sheet name="East Power Origination" sheetId="24" state="visible" r:id="rId26"/>
    <sheet name="West Power Trading" sheetId="25" state="visible" r:id="rId27"/>
    <sheet name="West Power Origination" sheetId="26" state="visible" r:id="rId28"/>
    <sheet name="Canada Trading" sheetId="27" state="visible" r:id="rId29"/>
    <sheet name="Canada Origination" sheetId="28" state="visible" r:id="rId30"/>
    <sheet name="Office of the Chair" sheetId="29" state="visible" r:id="rId31"/>
    <sheet name="East Power A&amp;A" sheetId="30" state="visible" r:id="rId32"/>
    <sheet name="Gas A&amp;A" sheetId="31" state="visible" r:id="rId33"/>
    <sheet name="West Power A&amp;A" sheetId="32" state="visible" r:id="rId34"/>
    <sheet name="Canada A&amp;A" sheetId="33" state="visible" r:id="rId35"/>
    <sheet name="Natural Gas Admin" sheetId="34" state="visible" r:id="rId36"/>
    <sheet name="East Power Admins" sheetId="35" state="visible" r:id="rId37"/>
    <sheet name="West Power Admins" sheetId="36" state="visible" r:id="rId38"/>
    <sheet name="Canada" sheetId="37" state="hidden" r:id="rId39"/>
    <sheet name="Canada Admins" sheetId="38" state="hidden" r:id="rId40"/>
    <sheet name="Fin Ops" sheetId="39" state="visible" r:id="rId41"/>
    <sheet name="Cash Ops" sheetId="40" state="visible" r:id="rId42"/>
    <sheet name="SAP" sheetId="41" state="hidden" r:id="rId43"/>
    <sheet name="Tax" sheetId="42" state="visible" r:id="rId44"/>
    <sheet name="Reg Affairs" sheetId="43" state="visible" r:id="rId45"/>
    <sheet name="Credit" sheetId="44" state="visible" r:id="rId46"/>
    <sheet name="Research" sheetId="45" state="hidden" r:id="rId47"/>
    <sheet name="Mkt Risk" sheetId="46" state="visible" r:id="rId48"/>
    <sheet name="EOPs" sheetId="47" state="visible" r:id="rId49"/>
    <sheet name="HR" sheetId="48" state="visible" r:id="rId50"/>
    <sheet name="IT Dev-EOL" sheetId="49" state="visible" r:id="rId51"/>
    <sheet name="IT Infra" sheetId="50" state="visible" r:id="rId52"/>
    <sheet name="EOL Support" sheetId="51" state="visible" r:id="rId53"/>
    <sheet name="Canada Support" sheetId="52" state="visible" r:id="rId54"/>
    <sheet name="Legal" sheetId="53" state="visible" r:id="rId55"/>
    <sheet name="Fundies-All" sheetId="54" state="visible" r:id="rId56"/>
    <sheet name="Struct" sheetId="55" state="visible" r:id="rId57"/>
    <sheet name="Weather" sheetId="56" state="visible" r:id="rId58"/>
    <sheet name="IT Dev" sheetId="57" state="hidden" r:id="rId59"/>
    <sheet name="IT EOL" sheetId="58" state="hidden" r:id="rId60"/>
    <sheet name="IT All" sheetId="59" state="hidden" r:id="rId61"/>
    <sheet name="Fundies-Hou" sheetId="60" state="visible" r:id="rId62"/>
    <sheet name="Competitive Ana" sheetId="61" state="visible" r:id="rId63"/>
    <sheet name="Gas - Fund" sheetId="62" state="visible" r:id="rId64"/>
    <sheet name="East - Fund" sheetId="63" state="visible" r:id="rId65"/>
    <sheet name="West - Fund" sheetId="64" state="visible" r:id="rId66"/>
    <sheet name="West - Struct" sheetId="65" state="hidden" r:id="rId67"/>
    <sheet name="Gas - Struct" sheetId="66" state="hidden" r:id="rId68"/>
    <sheet name="East - Struct" sheetId="67" state="hidden" r:id="rId69"/>
  </sheets>
  <externalReferences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function="false" hidden="false" localSheetId="36" name="_xlnm.Print_Area" vbProcedure="false">Canada!$B$1:$L$39</definedName>
    <definedName function="false" hidden="false" localSheetId="32" name="_xlnm.Print_Area" vbProcedure="false">'Canada A&amp;A'!$B$1:$L$39</definedName>
    <definedName function="false" hidden="false" localSheetId="37" name="_xlnm.Print_Area" vbProcedure="false">'Canada Admins'!$B$1:$L$39</definedName>
    <definedName function="false" hidden="false" localSheetId="27" name="_xlnm.Print_Area" vbProcedure="false">'Canada Origination'!$B$1:$L$39</definedName>
    <definedName function="false" hidden="false" localSheetId="51" name="_xlnm.Print_Area" vbProcedure="false">'Canada Support'!$A$1:$N$51</definedName>
    <definedName function="false" hidden="false" localSheetId="26" name="_xlnm.Print_Area" vbProcedure="false">'Canada Trading'!$B$1:$L$39</definedName>
    <definedName function="false" hidden="false" localSheetId="39" name="_xlnm.Print_Area" vbProcedure="false">'Cash Ops'!$B$1:$H$29</definedName>
    <definedName function="false" hidden="false" localSheetId="19" name="_xlnm.Print_Area" vbProcedure="false">'Central - Trading AA'!$B$1:$L$34</definedName>
    <definedName function="false" hidden="false" localSheetId="9" name="_xlnm.Print_Area" vbProcedure="false">'Central Gas - Orig'!$B$1:$L$34</definedName>
    <definedName function="false" hidden="false" localSheetId="4" name="_xlnm.Print_Area" vbProcedure="false">'Central-Trading w-o AA'!$B$1:$L$34</definedName>
    <definedName function="false" hidden="false" localSheetId="60" name="_xlnm.Print_Area" vbProcedure="false">'Competitive Ana'!$B$1:$L$43</definedName>
    <definedName function="false" hidden="false" localSheetId="43" name="_xlnm.Print_Area" vbProcedure="false">Credit!$A$1:$M$40</definedName>
    <definedName function="false" hidden="false" localSheetId="13" name="_xlnm.Print_Area" vbProcedure="false">Crude!$B$1:$L$34</definedName>
    <definedName function="false" hidden="false" localSheetId="18" name="_xlnm.Print_Area" vbProcedure="false">'Derivatives AA'!$B$1:$L$40</definedName>
    <definedName function="false" hidden="false" localSheetId="11" name="_xlnm.Print_Area" vbProcedure="false">'Derivatives w-o  AA'!$B$1:$L$40</definedName>
    <definedName function="false" hidden="false" localSheetId="62" name="_xlnm.Print_Area" vbProcedure="false">'East - Fund'!$B$1:$H$29</definedName>
    <definedName function="false" hidden="false" localSheetId="8" name="_xlnm.Print_Area" vbProcedure="false">'East - Orig'!$B$1:$L$34</definedName>
    <definedName function="false" hidden="false" localSheetId="66" name="_xlnm.Print_Area" vbProcedure="false">'East - Struct'!$B$1:$H$29</definedName>
    <definedName function="false" hidden="false" localSheetId="21" name="_xlnm.Print_Area" vbProcedure="false">'East Power'!$B$1:$H$29</definedName>
    <definedName function="false" hidden="false" localSheetId="29" name="_xlnm.Print_Area" vbProcedure="false">'East Power A&amp;A'!$B$1:$H$29</definedName>
    <definedName function="false" hidden="false" localSheetId="34" name="_xlnm.Print_Area" vbProcedure="false">'East Power Admins'!$B$1:$H$29</definedName>
    <definedName function="false" hidden="false" localSheetId="23" name="_xlnm.Print_Area" vbProcedure="false">'East Power Origination'!$B$1:$H$29</definedName>
    <definedName function="false" hidden="false" localSheetId="22" name="_xlnm.Print_Area" vbProcedure="false">'East Power Trading'!$B$1:$H$29</definedName>
    <definedName function="false" hidden="false" localSheetId="14" name="_xlnm.Print_Area" vbProcedure="false">'East-Trading AA'!$B$1:$L$34</definedName>
    <definedName function="false" hidden="false" localSheetId="3" name="_xlnm.Print_Area" vbProcedure="false">'East-Trading w-o AA'!$B$1:$L$34</definedName>
    <definedName function="false" hidden="false" localSheetId="50" name="_xlnm.Print_Area" vbProcedure="false">'EOL Support'!$A$1:$P$39</definedName>
    <definedName function="false" hidden="false" localSheetId="46" name="_xlnm.Print_Area" vbProcedure="false">EOPs!$A$1:$M$39</definedName>
    <definedName function="false" hidden="false" localSheetId="38" name="_xlnm.Print_Area" vbProcedure="false">'Fin Ops'!$B$1:$H$29</definedName>
    <definedName function="false" hidden="false" localSheetId="17" name="_xlnm.Print_Area" vbProcedure="false">'Financial - AA'!$B$1:$P$34</definedName>
    <definedName function="false" hidden="false" localSheetId="20" name="_xlnm.Print_Area" vbProcedure="false">'Financial Gas'!$B$1:$P$34</definedName>
    <definedName function="false" hidden="false" localSheetId="6" name="_xlnm.Print_Area" vbProcedure="false">'Financial w-o AA'!$B$1:$P$34</definedName>
    <definedName function="false" hidden="false" localSheetId="53" name="_xlnm.Print_Area" vbProcedure="false">'Fundies-All'!$B$1:$L$34</definedName>
    <definedName function="false" hidden="false" localSheetId="59" name="_xlnm.Print_Area" vbProcedure="false">'Fundies-Hou'!$B$1:$L$34</definedName>
    <definedName function="false" hidden="false" localSheetId="61" name="_xlnm.Print_Area" vbProcedure="false">'Gas - Fund'!$B$1:$L$34</definedName>
    <definedName function="false" hidden="false" localSheetId="65" name="_xlnm.Print_Area" vbProcedure="false">'Gas - Struct'!$B$1:$L$34</definedName>
    <definedName function="false" hidden="false" localSheetId="30" name="_xlnm.Print_Area" vbProcedure="false">'Gas A&amp;A'!$B$1:$L$34</definedName>
    <definedName function="false" hidden="false" localSheetId="47" name="_xlnm.Print_Area" vbProcedure="false">HR!$B$1:$L$40</definedName>
    <definedName function="false" hidden="false" localSheetId="58" name="_xlnm.Print_Area" vbProcedure="false">'IT All'!$B$1:$O$49</definedName>
    <definedName function="false" hidden="false" localSheetId="56" name="_xlnm.Print_Area" vbProcedure="false">'IT Dev'!$B$1:$O$49</definedName>
    <definedName function="false" hidden="false" localSheetId="48" name="_xlnm.Print_Area" vbProcedure="false">'IT Dev-EOL'!$B$1:$O$49</definedName>
    <definedName function="false" hidden="false" localSheetId="57" name="_xlnm.Print_Area" vbProcedure="false">'IT EOL'!$B$1:$M$39</definedName>
    <definedName function="false" hidden="false" localSheetId="49" name="_xlnm.Print_Area" vbProcedure="false">'IT Infra'!$B$1:$R$46</definedName>
    <definedName function="false" hidden="false" localSheetId="52" name="_xlnm.Print_Area" vbProcedure="false">Legal!$B$1:$F$29</definedName>
    <definedName function="false" hidden="false" localSheetId="12" name="_xlnm.Print_Area" vbProcedure="false">Mexico!$B$1:$L$34</definedName>
    <definedName function="false" hidden="false" localSheetId="45" name="_xlnm.Print_Area" vbProcedure="false">'Mkt Risk'!$B$1:$M$41</definedName>
    <definedName function="false" hidden="false" localSheetId="33" name="_xlnm.Print_Area" vbProcedure="false">'Natural Gas Admin'!$B$1:$L$34</definedName>
    <definedName function="false" hidden="false" localSheetId="28" name="_xlnm.Print_Area" vbProcedure="false">'Office of the Chair'!$B$1:$M$40</definedName>
    <definedName function="false" hidden="false" localSheetId="42" name="_xlnm.Print_Area" vbProcedure="false">'Reg Affairs'!$B$1:$L$39</definedName>
    <definedName function="false" hidden="false" localSheetId="44" name="_xlnm.Print_Area" vbProcedure="false">Research!$B$1:$M$41</definedName>
    <definedName function="false" hidden="false" localSheetId="40" name="_xlnm.Print_Area" vbProcedure="false">SAP!$B$1:$M$40</definedName>
    <definedName function="false" hidden="false" localSheetId="54" name="_xlnm.Print_Area" vbProcedure="false">Struct!$B$1:$O$35</definedName>
    <definedName function="false" hidden="false" localSheetId="1" name="_xlnm.Print_Area" vbProcedure="false">'Summary 2002'!$A$1:$T$89</definedName>
    <definedName function="false" hidden="false" localSheetId="0" name="_xlnm.Print_Area" vbProcedure="false">'Summary 2002 Revised'!$A$1:$T$124</definedName>
    <definedName function="false" hidden="false" localSheetId="41" name="_xlnm.Print_Area" vbProcedure="false">Tax!$B$1:$F$29</definedName>
    <definedName function="false" hidden="false" localSheetId="7" name="_xlnm.Print_Area" vbProcedure="false">'Texas - Orig'!$B$1:$L$34</definedName>
    <definedName function="false" hidden="false" localSheetId="16" name="_xlnm.Print_Area" vbProcedure="false">'Texas-Trading AA'!$B$1:$L$34</definedName>
    <definedName function="false" hidden="false" localSheetId="2" name="_xlnm.Print_Area" vbProcedure="false">'Texas-Trading w-o AA'!$B$1:$L$34</definedName>
    <definedName function="false" hidden="false" localSheetId="55" name="_xlnm.Print_Area" vbProcedure="false">Weather!$B$1:$L$34</definedName>
    <definedName function="false" hidden="false" localSheetId="63" name="_xlnm.Print_Area" vbProcedure="false">'West - Fund'!$B$1:$O$35</definedName>
    <definedName function="false" hidden="false" localSheetId="10" name="_xlnm.Print_Area" vbProcedure="false">'West - Orig'!$B$1:$L$34</definedName>
    <definedName function="false" hidden="false" localSheetId="64" name="_xlnm.Print_Area" vbProcedure="false">'West - Struct'!$B$1:$O$35</definedName>
    <definedName function="false" hidden="false" localSheetId="31" name="_xlnm.Print_Area" vbProcedure="false">'West Power A&amp;A'!$B$1:$G$35</definedName>
    <definedName function="false" hidden="false" localSheetId="35" name="_xlnm.Print_Area" vbProcedure="false">'West Power Admins'!$B$1:$U$35</definedName>
    <definedName function="false" hidden="false" localSheetId="25" name="_xlnm.Print_Area" vbProcedure="false">'West Power Origination'!$B$1:$V$35</definedName>
    <definedName function="false" hidden="false" localSheetId="24" name="_xlnm.Print_Area" vbProcedure="false">'West Power Trading'!$B$1:$U$35</definedName>
    <definedName function="false" hidden="false" localSheetId="15" name="_xlnm.Print_Area" vbProcedure="false">'West-Trading AA'!$B$1:$L$34</definedName>
    <definedName function="false" hidden="false" localSheetId="5" name="_xlnm.Print_Area" vbProcedure="false">'West-Trading w-o AA'!$B$1:$L$34</definedName>
    <definedName function="false" hidden="false" name="SAPFuncF4Help" vbProcedure="false">(#NAME?)</definedName>
    <definedName function="false" hidden="false" localSheetId="0" name="SAPFuncF4Help" vbProcedure="false">(#NAME?)</definedName>
    <definedName function="false" hidden="false" localSheetId="1" name="SAPFuncF4Help" vbProcedure="false">(#NAME?)</definedName>
    <definedName function="false" hidden="false" localSheetId="2" name="SAPFuncF4Help" vbProcedure="false">(#NAME?)</definedName>
    <definedName function="false" hidden="false" localSheetId="3" name="SAPFuncF4Help" vbProcedure="false">(#NAME?)</definedName>
    <definedName function="false" hidden="false" localSheetId="4" name="SAPFuncF4Help" vbProcedure="false">(#NAME?)</definedName>
    <definedName function="false" hidden="false" localSheetId="5" name="SAPFuncF4Help" vbProcedure="false">(#NAME?)</definedName>
    <definedName function="false" hidden="false" localSheetId="6" name="SAPFuncF4Help" vbProcedure="false">(#NAME?)</definedName>
    <definedName function="false" hidden="false" localSheetId="7" name="SAPFuncF4Help" vbProcedure="false">(#NAME?)</definedName>
    <definedName function="false" hidden="false" localSheetId="8" name="SAPFuncF4Help" vbProcedure="false">(#NAME?)</definedName>
    <definedName function="false" hidden="false" localSheetId="9" name="SAPFuncF4Help" vbProcedure="false">(#NAME?)</definedName>
    <definedName function="false" hidden="false" localSheetId="10" name="SAPFuncF4Help" vbProcedure="false">(#NAME?)</definedName>
    <definedName function="false" hidden="false" localSheetId="11" name="SAPFuncF4Help" vbProcedure="false">(#NAME?)</definedName>
    <definedName function="false" hidden="false" localSheetId="12" name="SAPFuncF4Help" vbProcedure="false">(#NAME?)</definedName>
    <definedName function="false" hidden="false" localSheetId="13" name="SAPFuncF4Help" vbProcedure="false">(#NAME?)</definedName>
    <definedName function="false" hidden="false" localSheetId="14" name="SAPFuncF4Help" vbProcedure="false">(#NAME?)</definedName>
    <definedName function="false" hidden="false" localSheetId="15" name="SAPFuncF4Help" vbProcedure="false">(#NAME?)</definedName>
    <definedName function="false" hidden="false" localSheetId="16" name="SAPFuncF4Help" vbProcedure="false">(#NAME?)</definedName>
    <definedName function="false" hidden="false" localSheetId="17" name="SAPFuncF4Help" vbProcedure="false">(#NAME?)</definedName>
    <definedName function="false" hidden="false" localSheetId="18" name="SAPFuncF4Help" vbProcedure="false">(#NAME?)</definedName>
    <definedName function="false" hidden="false" localSheetId="19" name="SAPFuncF4Help" vbProcedure="false">(#NAME?)</definedName>
    <definedName function="false" hidden="false" localSheetId="20" name="SAPFuncF4Help" vbProcedure="false">(#NAME?)</definedName>
    <definedName function="false" hidden="false" localSheetId="22" name="SAPFuncF4Help" vbProcedure="false">(#NAME?)</definedName>
    <definedName function="false" hidden="false" localSheetId="23" name="SAPFuncF4Help" vbProcedure="false">(#NAME?)</definedName>
    <definedName function="false" hidden="false" localSheetId="24" name="SAPFuncF4Help" vbProcedure="false">(#NAME?)</definedName>
    <definedName function="false" hidden="false" localSheetId="25" name="SAPFuncF4Help" vbProcedure="false">(#NAME?)</definedName>
    <definedName function="false" hidden="false" localSheetId="26" name="SAPFuncF4Help" vbProcedure="false">(#NAME?)</definedName>
    <definedName function="false" hidden="false" localSheetId="27" name="SAPFuncF4Help" vbProcedure="false">(#NAME?)</definedName>
    <definedName function="false" hidden="false" localSheetId="28" name="SAPFuncF4Help" vbProcedure="false">(#NAME?)</definedName>
    <definedName function="false" hidden="false" localSheetId="29" name="SAPFuncF4Help" vbProcedure="false">(#NAME?)</definedName>
    <definedName function="false" hidden="false" localSheetId="30" name="SAPFuncF4Help" vbProcedure="false">(#NAME?)</definedName>
    <definedName function="false" hidden="false" localSheetId="31" name="SAPFuncF4Help" vbProcedure="false">(#NAME?)</definedName>
    <definedName function="false" hidden="false" localSheetId="32" name="SAPFuncF4Help" vbProcedure="false">(#NAME?)</definedName>
    <definedName function="false" hidden="false" localSheetId="33" name="SAPFuncF4Help" vbProcedure="false">(#NAME?)</definedName>
    <definedName function="false" hidden="false" localSheetId="34" name="SAPFuncF4Help" vbProcedure="false">(#NAME?)</definedName>
    <definedName function="false" hidden="false" localSheetId="35" name="SAPFuncF4Help" vbProcedure="false">(#NAME?)</definedName>
    <definedName function="false" hidden="false" localSheetId="36" name="SAPFuncF4Help" vbProcedure="false">(#NAME?)</definedName>
    <definedName function="false" hidden="false" localSheetId="37" name="SAPFuncF4Help" vbProcedure="false">(#NAME?)</definedName>
    <definedName function="false" hidden="false" localSheetId="39" name="SAPFuncF4Help" vbProcedure="false">(#NAME?)</definedName>
    <definedName function="false" hidden="false" localSheetId="40" name="SAPFuncF4Help" vbProcedure="false">(#NAME?)</definedName>
    <definedName function="false" hidden="false" localSheetId="41" name="SAPFuncF4Help" vbProcedure="false">(#NAME?)</definedName>
    <definedName function="false" hidden="false" localSheetId="42" name="SAPFuncF4Help" vbProcedure="false">(#NAME?)</definedName>
    <definedName function="false" hidden="false" localSheetId="43" name="SAPFuncF4Help" vbProcedure="false">(#NAME?)</definedName>
    <definedName function="false" hidden="false" localSheetId="44" name="SAPFuncF4Help" vbProcedure="false">(#NAME?)</definedName>
    <definedName function="false" hidden="false" localSheetId="45" name="SAPFuncF4Help" vbProcedure="false">(#NAME?)</definedName>
    <definedName function="false" hidden="false" localSheetId="46" name="SAPFuncF4Help" vbProcedure="false">(#NAME?)</definedName>
    <definedName function="false" hidden="false" localSheetId="47" name="SAPFuncF4Help" vbProcedure="false">(#NAME?)</definedName>
    <definedName function="false" hidden="false" localSheetId="48" name="SAPFuncF4Help" vbProcedure="false">(#NAME?)</definedName>
    <definedName function="false" hidden="false" localSheetId="49" name="SAPFuncF4Help" vbProcedure="false">(#NAME?)</definedName>
    <definedName function="false" hidden="false" localSheetId="50" name="SAPFuncF4Help" vbProcedure="false">(#NAME?)</definedName>
    <definedName function="false" hidden="false" localSheetId="51" name="SAPFuncF4Help" vbProcedure="false">(#NAME?)</definedName>
    <definedName function="false" hidden="false" localSheetId="52" name="SAPFuncF4Help" vbProcedure="false">(#NAME?)</definedName>
    <definedName function="false" hidden="false" localSheetId="53" name="SAPFuncF4Help" vbProcedure="false">(#NAME?)</definedName>
    <definedName function="false" hidden="false" localSheetId="54" name="SAPFuncF4Help" vbProcedure="false">(#NAME?)</definedName>
    <definedName function="false" hidden="false" localSheetId="55" name="SAPFuncF4Help" vbProcedure="false">(#NAME?)</definedName>
    <definedName function="false" hidden="false" localSheetId="56" name="SAPFuncF4Help" vbProcedure="false">(#NAME?)</definedName>
    <definedName function="false" hidden="false" localSheetId="57" name="SAPFuncF4Help" vbProcedure="false">(#NAME?)</definedName>
    <definedName function="false" hidden="false" localSheetId="58" name="SAPFuncF4Help" vbProcedure="false">(#NAME?)</definedName>
    <definedName function="false" hidden="false" localSheetId="59" name="SAPFuncF4Help" vbProcedure="false">(#NAME?)</definedName>
    <definedName function="false" hidden="false" localSheetId="60" name="SAPFuncF4Help" vbProcedure="false">(#NAME?)</definedName>
    <definedName function="false" hidden="false" localSheetId="61" name="SAPFuncF4Help" vbProcedure="false">(#NAME?)</definedName>
    <definedName function="false" hidden="false" localSheetId="62" name="SAPFuncF4Help" vbProcedure="false">(#NAME?)</definedName>
    <definedName function="false" hidden="false" localSheetId="63" name="SAPFuncF4Help" vbProcedure="false">(#NAME?)</definedName>
    <definedName function="false" hidden="false" localSheetId="64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49</xdr:colOff>
                <xdr:row>11</xdr:row>
                <xdr:rowOff>7</xdr:rowOff>
              </xdr:from>
              <xdr:to>
                <xdr:col>23</xdr:col>
                <xdr:colOff>49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4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66</xdr:colOff>
                <xdr:row>11</xdr:row>
                <xdr:rowOff>7</xdr:rowOff>
              </xdr:from>
              <xdr:to>
                <xdr:col>57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5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57</xdr:col>
                <xdr:colOff>37</xdr:colOff>
                <xdr:row>12</xdr:row>
                <xdr:rowOff>7</xdr:rowOff>
              </xdr:from>
              <xdr:to>
                <xdr:col>59</xdr:col>
                <xdr:colOff>37</xdr:colOff>
                <xdr:row>16</xdr:row>
                <xdr:rowOff>12</xdr:rowOff>
              </xdr:to>
            </anchor>
          </commentPr>
        </mc:Choice>
        <mc:Fallback/>
      </mc:AlternateContent>
    </comment>
  </commentList>
</comments>
</file>

<file path=xl/comments5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36</xdr:colOff>
                <xdr:row>11</xdr:row>
                <xdr:rowOff>7</xdr:rowOff>
              </xdr:from>
              <xdr:to>
                <xdr:col>15</xdr:col>
                <xdr:colOff>19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5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48</xdr:colOff>
                <xdr:row>11</xdr:row>
                <xdr:rowOff>7</xdr:rowOff>
              </xdr:from>
              <xdr:to>
                <xdr:col>14</xdr:col>
                <xdr:colOff>30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5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75</xdr:col>
                <xdr:colOff>66</xdr:colOff>
                <xdr:row>11</xdr:row>
                <xdr:rowOff>7</xdr:rowOff>
              </xdr:from>
              <xdr:to>
                <xdr:col>77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<sst xmlns="http://schemas.openxmlformats.org/spreadsheetml/2006/main" count="5071" uniqueCount="286">
  <si>
    <t xml:space="preserve">Enron North America</t>
  </si>
  <si>
    <t xml:space="preserve">2002 Expenses</t>
  </si>
  <si>
    <t xml:space="preserve">Based on Headcount of 854</t>
  </si>
  <si>
    <t xml:space="preserve">2000 YTD</t>
  </si>
  <si>
    <t xml:space="preserve">2001 Oct YTD</t>
  </si>
  <si>
    <t xml:space="preserve">2002 Plan</t>
  </si>
  <si>
    <t xml:space="preserve">VAR Limit</t>
  </si>
  <si>
    <t xml:space="preserve">Gross Margin</t>
  </si>
  <si>
    <t xml:space="preserve">Direct Expenses</t>
  </si>
  <si>
    <t xml:space="preserve">Headcount</t>
  </si>
  <si>
    <t xml:space="preserve">EBIT</t>
  </si>
  <si>
    <t xml:space="preserve">Texas Gas Trading</t>
  </si>
  <si>
    <t xml:space="preserve"> </t>
  </si>
  <si>
    <t xml:space="preserve">East Gas Trading</t>
  </si>
  <si>
    <t xml:space="preserve">Central Gas Trading</t>
  </si>
  <si>
    <t xml:space="preserve">West Gas Trading</t>
  </si>
  <si>
    <t xml:space="preserve">Financial Gas Trading</t>
  </si>
  <si>
    <t xml:space="preserve">Texas Gas Origination</t>
  </si>
  <si>
    <t xml:space="preserve">East Gas Origination</t>
  </si>
  <si>
    <t xml:space="preserve">Central Gas Origination</t>
  </si>
  <si>
    <t xml:space="preserve">West Gas Origination</t>
  </si>
  <si>
    <t xml:space="preserve">Derivatives</t>
  </si>
  <si>
    <t xml:space="preserve">Mexico</t>
  </si>
  <si>
    <t xml:space="preserve">Crude</t>
  </si>
  <si>
    <t xml:space="preserve">Total Gas Trading and Origination***</t>
  </si>
  <si>
    <t xml:space="preserve">East Power Trading</t>
  </si>
  <si>
    <t xml:space="preserve">East Power Origination</t>
  </si>
  <si>
    <t xml:space="preserve">West Power Trading- Portland</t>
  </si>
  <si>
    <t xml:space="preserve">West Power Origination- Portland</t>
  </si>
  <si>
    <t xml:space="preserve">Canada Gas/Power Trading</t>
  </si>
  <si>
    <t xml:space="preserve">Canada Gas/Power Trading/Orig</t>
  </si>
  <si>
    <t xml:space="preserve">Canada Gas/Power Origination</t>
  </si>
  <si>
    <t xml:space="preserve">HPL/Upstream/Bridgeline</t>
  </si>
  <si>
    <t xml:space="preserve">Merchant</t>
  </si>
  <si>
    <t xml:space="preserve">Leadership(Office of the Chair)</t>
  </si>
  <si>
    <t xml:space="preserve">Total Commercial</t>
  </si>
  <si>
    <t xml:space="preserve">Analysts &amp; Associates Directly Supporting Commercial Teams</t>
  </si>
  <si>
    <t xml:space="preserve">Admins for Commercial Teams</t>
  </si>
  <si>
    <t xml:space="preserve">Accounting, Transaction Support</t>
  </si>
  <si>
    <t xml:space="preserve">Cash Operations and Tax</t>
  </si>
  <si>
    <t xml:space="preserve">Regulatory Affairs</t>
  </si>
  <si>
    <t xml:space="preserve">Credit</t>
  </si>
  <si>
    <t xml:space="preserve">Research/Market Risk</t>
  </si>
  <si>
    <t xml:space="preserve">Market Risk</t>
  </si>
  <si>
    <t xml:space="preserve">Energy Ops</t>
  </si>
  <si>
    <t xml:space="preserve">Gas Logistics</t>
  </si>
  <si>
    <t xml:space="preserve">Gas Book Running</t>
  </si>
  <si>
    <t xml:space="preserve">Gas Settlements</t>
  </si>
  <si>
    <t xml:space="preserve">Gas Volume Mgmt</t>
  </si>
  <si>
    <t xml:space="preserve">Power Logistics</t>
  </si>
  <si>
    <t xml:space="preserve">Power Book Running</t>
  </si>
  <si>
    <t xml:space="preserve">Power Settlements</t>
  </si>
  <si>
    <t xml:space="preserve">Power Volume Mgmt</t>
  </si>
  <si>
    <t xml:space="preserve">Documentation</t>
  </si>
  <si>
    <t xml:space="preserve">Management</t>
  </si>
  <si>
    <t xml:space="preserve">Canada</t>
  </si>
  <si>
    <t xml:space="preserve">HR</t>
  </si>
  <si>
    <t xml:space="preserve">IT- Development *</t>
  </si>
  <si>
    <t xml:space="preserve">IT- Infrastructure**</t>
  </si>
  <si>
    <t xml:space="preserve">IT- EOL</t>
  </si>
  <si>
    <t xml:space="preserve">IT- EOL Support</t>
  </si>
  <si>
    <t xml:space="preserve">Canada Support</t>
  </si>
  <si>
    <t xml:space="preserve">Legal</t>
  </si>
  <si>
    <t xml:space="preserve">Rent </t>
  </si>
  <si>
    <t xml:space="preserve">Houston &amp; Other</t>
  </si>
  <si>
    <t xml:space="preserve">Portland</t>
  </si>
  <si>
    <t xml:space="preserve">Other Corporate Charges</t>
  </si>
  <si>
    <t xml:space="preserve">Other</t>
  </si>
  <si>
    <t xml:space="preserve">Houston Fundamentals/Structuring, CABC, and Weather</t>
  </si>
  <si>
    <t xml:space="preserve">ENE Service Level Agreements</t>
  </si>
  <si>
    <t xml:space="preserve">Moved $2.4 of SAP costs here, and decreased HC by 12</t>
  </si>
  <si>
    <t xml:space="preserve">and moved $2.0 for SAP cost of system and maintenance</t>
  </si>
  <si>
    <t xml:space="preserve">Bonus</t>
  </si>
  <si>
    <t xml:space="preserve">Total Group</t>
  </si>
  <si>
    <t xml:space="preserve">Total Expenses</t>
  </si>
  <si>
    <t xml:space="preserve">*IT Development includes systems maintenance and enhancements of ERMS, TAGG, </t>
  </si>
  <si>
    <t xml:space="preserve">EnPower, Sitara, Unify, etc. and license fees for Oracle and Tibco</t>
  </si>
  <si>
    <t xml:space="preserve">**IT Infrastructure includes desk top support, communications, market data feeds, licenses,</t>
  </si>
  <si>
    <t xml:space="preserve"> servers, tie lines, remote office support, WAN, and LAN.</t>
  </si>
  <si>
    <t xml:space="preserve">***Unable to identify which region 2 gas employees belong to.</t>
  </si>
  <si>
    <t xml:space="preserve">Houston Gas Trading/Orig (includes Mexico)</t>
  </si>
  <si>
    <t xml:space="preserve">East Power Trading/Orig</t>
  </si>
  <si>
    <t xml:space="preserve">West Power Trading/Origination- Portland</t>
  </si>
  <si>
    <t xml:space="preserve">Office of the Chairman</t>
  </si>
  <si>
    <t xml:space="preserve">Texas - Trading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</si>
  <si>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</si>
  <si>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</si>
  <si>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</si>
  <si>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</si>
  <si>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</si>
  <si>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</si>
  <si>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</si>
  <si>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</si>
  <si>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</si>
  <si>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</si>
  <si>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</si>
  <si>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</si>
  <si>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</si>
  <si>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</si>
  <si>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</si>
  <si>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</si>
  <si>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</si>
  <si>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</si>
  <si>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</si>
  <si>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</si>
  <si>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</si>
  <si>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</si>
  <si>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</si>
  <si>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</si>
  <si>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</si>
  <si>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</si>
  <si>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</si>
  <si>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</si>
  <si>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</si>
  <si>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</si>
  <si>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</si>
  <si>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</si>
  <si>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</si>
  <si>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</si>
  <si>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</si>
  <si>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</si>
  <si>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</si>
  <si>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</si>
  <si>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</si>
  <si>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</si>
  <si>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</si>
  <si>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</si>
  <si>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</si>
  <si>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</si>
  <si>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</si>
  <si>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</si>
  <si>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</si>
  <si>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</si>
  <si>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</si>
  <si>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</si>
  <si>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</si>
  <si>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</si>
  <si>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</si>
  <si>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</si>
  <si>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</si>
  <si>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</si>
  <si>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</si>
  <si>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</si>
  <si>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</si>
  <si>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</si>
  <si>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East Gas - Trading</t>
  </si>
  <si>
    <t xml:space="preserve">Central Gas - Trading</t>
  </si>
  <si>
    <t xml:space="preserve">West Gas - Trading </t>
  </si>
  <si>
    <t xml:space="preserve">ADJUSTED</t>
  </si>
  <si>
    <t xml:space="preserve">Financial Gas</t>
  </si>
  <si>
    <t xml:space="preserve">Quigley, Henry H</t>
  </si>
  <si>
    <t xml:space="preserve">ASSOCIATE</t>
  </si>
  <si>
    <t xml:space="preserve">ENA FINANCIAL</t>
  </si>
  <si>
    <t xml:space="preserve">Maggi, Michael J</t>
  </si>
  <si>
    <t xml:space="preserve">DIRECTOR</t>
  </si>
  <si>
    <t xml:space="preserve">May, Lawrence J</t>
  </si>
  <si>
    <t xml:space="preserve">Griffith, John H</t>
  </si>
  <si>
    <t xml:space="preserve">MANAGER</t>
  </si>
  <si>
    <t xml:space="preserve">Arnold, John D</t>
  </si>
  <si>
    <t xml:space="preserve">VICE PRESIDENT</t>
  </si>
  <si>
    <t xml:space="preserve">Zipper, Andrew A</t>
  </si>
  <si>
    <t xml:space="preserve">Ligums, John (Jeb)</t>
  </si>
  <si>
    <t xml:space="preserve">Texas Gas - Origination</t>
  </si>
  <si>
    <t xml:space="preserve">East Gas - Orig</t>
  </si>
  <si>
    <t xml:space="preserve">Central Gas - Orig</t>
  </si>
  <si>
    <t xml:space="preserve">West Gas - Orig</t>
  </si>
  <si>
    <t xml:space="preserve">Derivatives/Wellhead</t>
  </si>
  <si>
    <t xml:space="preserve">Jaime Williams-Quintero</t>
  </si>
  <si>
    <t xml:space="preserve">Agustin Perez-Miranda</t>
  </si>
  <si>
    <t xml:space="preserve">East Gas - Trading Analysts/Associates</t>
  </si>
  <si>
    <t xml:space="preserve">West Gas - Trading Analysts/Associates</t>
  </si>
  <si>
    <t xml:space="preserve">Texas - Trading Analysts/Associates</t>
  </si>
  <si>
    <t xml:space="preserve">Financial Gas Analysts/Associates</t>
  </si>
  <si>
    <t xml:space="preserve">Derivatives/Wellhead Analysts/Associates</t>
  </si>
  <si>
    <t xml:space="preserve">Central Gas - Trading Analysts/Associates</t>
  </si>
  <si>
    <t xml:space="preserve">East Power</t>
  </si>
  <si>
    <t xml:space="preserve">Analysts &amp; Associates</t>
  </si>
  <si>
    <t xml:space="preserve">Clerk</t>
  </si>
  <si>
    <t xml:space="preserve">Analyst &amp; Associate Headcount</t>
  </si>
  <si>
    <t xml:space="preserve">West Power Trading</t>
  </si>
  <si>
    <t xml:space="preserve">% of </t>
  </si>
  <si>
    <t xml:space="preserve">Total Exp</t>
  </si>
  <si>
    <t xml:space="preserve">West Power Origination</t>
  </si>
  <si>
    <t xml:space="preserve">Canada Trading</t>
  </si>
  <si>
    <t xml:space="preserve">Analysts &amp; Associates  </t>
  </si>
  <si>
    <t xml:space="preserve">CEO</t>
  </si>
  <si>
    <t xml:space="preserve">ENAOUTLG</t>
  </si>
  <si>
    <t xml:space="preserve">*  Analysts and Associates are billed through normal payroll for Canada.</t>
  </si>
  <si>
    <t xml:space="preserve">ENAOUTTX</t>
  </si>
  <si>
    <t xml:space="preserve">ENAINSUR</t>
  </si>
  <si>
    <t xml:space="preserve">ENASYSDV</t>
  </si>
  <si>
    <t xml:space="preserve">ENACORIT</t>
  </si>
  <si>
    <t xml:space="preserve">ENACORRN</t>
  </si>
  <si>
    <t xml:space="preserve">ENAOTHAL</t>
  </si>
  <si>
    <t xml:space="preserve">ENADEPR</t>
  </si>
  <si>
    <t xml:space="preserve">Canada Origination</t>
  </si>
  <si>
    <t xml:space="preserve">Adj Comp</t>
  </si>
  <si>
    <t xml:space="preserve">Annualized</t>
  </si>
  <si>
    <t xml:space="preserve">Analyst &amp; Assoicate</t>
  </si>
  <si>
    <t xml:space="preserve">COO</t>
  </si>
  <si>
    <t xml:space="preserve">Outside Legal</t>
  </si>
  <si>
    <t xml:space="preserve">Outside Tax</t>
  </si>
  <si>
    <t xml:space="preserve">Insurance</t>
  </si>
  <si>
    <t xml:space="preserve">System Development</t>
  </si>
  <si>
    <t xml:space="preserve">Controllable Infrastructure</t>
  </si>
  <si>
    <t xml:space="preserve">Corporate Rent</t>
  </si>
  <si>
    <t xml:space="preserve">Other Allocated Direct  Expenses</t>
  </si>
  <si>
    <t xml:space="preserve">Depreciation &amp; Amortization</t>
  </si>
  <si>
    <t xml:space="preserve">East Power Analyst &amp; Associate</t>
  </si>
  <si>
    <t xml:space="preserve">Gas - Analysts/Associates</t>
  </si>
  <si>
    <t xml:space="preserve">West Power Analyst &amp; Associate</t>
  </si>
  <si>
    <t xml:space="preserve">Canada Analyst &amp; Associate</t>
  </si>
  <si>
    <t xml:space="preserve">Natural Gas Admins</t>
  </si>
  <si>
    <t xml:space="preserve">East Power Admins</t>
  </si>
  <si>
    <t xml:space="preserve">West Power Admins</t>
  </si>
  <si>
    <t xml:space="preserve">Canada </t>
  </si>
  <si>
    <t xml:space="preserve">Canada Admins</t>
  </si>
  <si>
    <t xml:space="preserve">Financial Operations</t>
  </si>
  <si>
    <t xml:space="preserve">Reporting, GL, Trading &amp; Transaction Support</t>
  </si>
  <si>
    <t xml:space="preserve">Cash Operations</t>
  </si>
  <si>
    <t xml:space="preserve">Admins</t>
  </si>
  <si>
    <t xml:space="preserve">Analysts</t>
  </si>
  <si>
    <t xml:space="preserve">Sr Specialist</t>
  </si>
  <si>
    <t xml:space="preserve">Managers</t>
  </si>
  <si>
    <t xml:space="preserve">Directors</t>
  </si>
  <si>
    <t xml:space="preserve">Sr Director</t>
  </si>
  <si>
    <t xml:space="preserve">Vice President</t>
  </si>
  <si>
    <t xml:space="preserve">Managing Dir</t>
  </si>
  <si>
    <t xml:space="preserve">Benefits &amp; Taxes</t>
  </si>
  <si>
    <t xml:space="preserve">This was adjusted up 600,000 </t>
  </si>
  <si>
    <t xml:space="preserve">for Audit fees during the year.</t>
  </si>
  <si>
    <t xml:space="preserve">It was also adjusted 704,684</t>
  </si>
  <si>
    <t xml:space="preserve">to get to a total of 7,000,000 </t>
  </si>
  <si>
    <t xml:space="preserve">for the BA&amp;R group.</t>
  </si>
  <si>
    <t xml:space="preserve">This was adjusted up 360,000 </t>
  </si>
  <si>
    <t xml:space="preserve">for consulting fees during the year.</t>
  </si>
  <si>
    <t xml:space="preserve">SAP</t>
  </si>
  <si>
    <t xml:space="preserve">Analysts &amp; Associate Headcount</t>
  </si>
  <si>
    <t xml:space="preserve">Consultants</t>
  </si>
  <si>
    <t xml:space="preserve">Based on information from ENW accounting.</t>
  </si>
  <si>
    <t xml:space="preserve">Adjusted Amts</t>
  </si>
  <si>
    <t xml:space="preserve">Sr Specialst</t>
  </si>
  <si>
    <t xml:space="preserve">Also adjusted up to reach a total of $800k.</t>
  </si>
  <si>
    <t xml:space="preserve">Coordinator</t>
  </si>
  <si>
    <t xml:space="preserve">Based on Legal Expenses</t>
  </si>
  <si>
    <t xml:space="preserve">Credit </t>
  </si>
  <si>
    <t xml:space="preserve">Analyst &amp; Associate</t>
  </si>
  <si>
    <t xml:space="preserve">Exec. Asst.</t>
  </si>
  <si>
    <t xml:space="preserve">EVP/CRO</t>
  </si>
  <si>
    <t xml:space="preserve">General Counsel Asst</t>
  </si>
  <si>
    <t xml:space="preserve">Energy Operations </t>
  </si>
  <si>
    <t xml:space="preserve">Energy Operations</t>
  </si>
  <si>
    <t xml:space="preserve">Human Resources</t>
  </si>
  <si>
    <t xml:space="preserve">IT Development</t>
  </si>
  <si>
    <t xml:space="preserve">Tech</t>
  </si>
  <si>
    <t xml:space="preserve">IT Consultants</t>
  </si>
  <si>
    <t xml:space="preserve">IT Development costs includes amounts for maintenance and enhancements to</t>
  </si>
  <si>
    <t xml:space="preserve">Enpower, Sitara, Unify, TAGG, ERMS, and other trading systems along </t>
  </si>
  <si>
    <t xml:space="preserve">with Oracle and Tibco licenses.</t>
  </si>
  <si>
    <t xml:space="preserve">Infrastructure costs include amounts for desktop support, e-mail administration, security,</t>
  </si>
  <si>
    <t xml:space="preserve">communications (long distance, trading turrets, phones, cables), licenses (Microsoft, etc), </t>
  </si>
  <si>
    <t xml:space="preserve">market data feeds, T1 lines, internet access, WAN, LAN, etc.</t>
  </si>
  <si>
    <t xml:space="preserve">EOL Support</t>
  </si>
  <si>
    <t xml:space="preserve">EOPs/Risk</t>
  </si>
  <si>
    <t xml:space="preserve">includes 1 Analyst</t>
  </si>
  <si>
    <t xml:space="preserve">IT</t>
  </si>
  <si>
    <t xml:space="preserve">Accounting</t>
  </si>
  <si>
    <t xml:space="preserve">Includes 1 HR</t>
  </si>
  <si>
    <t xml:space="preserve">Sr. Counsel</t>
  </si>
  <si>
    <t xml:space="preserve">Includes 1 from Reg Affairs</t>
  </si>
  <si>
    <t xml:space="preserve">Toronto</t>
  </si>
  <si>
    <t xml:space="preserve">Sr Counsel</t>
  </si>
  <si>
    <t xml:space="preserve">VP - Counsel</t>
  </si>
  <si>
    <t xml:space="preserve">Outside Legal - $5,000,000</t>
  </si>
  <si>
    <t xml:space="preserve"> Fundamentals</t>
  </si>
  <si>
    <t xml:space="preserve">Structuring</t>
  </si>
  <si>
    <t xml:space="preserve">Weather</t>
  </si>
  <si>
    <t xml:space="preserve">Consulatant</t>
  </si>
  <si>
    <t xml:space="preserve">Information Technology</t>
  </si>
  <si>
    <t xml:space="preserve">`</t>
  </si>
  <si>
    <t xml:space="preserve">Natural Gas Fundamentals</t>
  </si>
  <si>
    <t xml:space="preserve">East Power Fundamentals</t>
  </si>
  <si>
    <t xml:space="preserve">West Power Fundamentals</t>
  </si>
  <si>
    <t xml:space="preserve">West Power Structuring</t>
  </si>
  <si>
    <t xml:space="preserve">Natural Gas Structuring</t>
  </si>
  <si>
    <t xml:space="preserve">East Power Structuring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</si>
</sst>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  <numFmt numFmtId="168" formatCode="_(* #,##0.0_);_(* \(#,##0.0\);_(* \-?_);_(@_)"/>
    <numFmt numFmtId="169" formatCode="_(* #,##0_);_(* \(#,##0\);_(* \-?_);_(@_)"/>
    <numFmt numFmtId="170" formatCode="0.0"/>
    <numFmt numFmtId="171" formatCode="mmmm\-yy"/>
    <numFmt numFmtId="172" formatCode="[$-409]mmm\-yy"/>
    <numFmt numFmtId="173" formatCode="@"/>
    <numFmt numFmtId="174" formatCode="0%"/>
    <numFmt numFmtId="175" formatCode="0.0%"/>
    <numFmt numFmtId="176" formatCode="_(\$* #,##0.00_);_(\$* \(#,##0.00\);_(\$* \-??_);_(@_)"/>
    <numFmt numFmtId="177" formatCode="_(\$* #,##0_);_(\$* \(#,##0\);_(\$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sz val="9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9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SAPLocked" xfId="21"/>
    <cellStyle name="SAPOutput" xfId="22"/>
    <cellStyle name="SAPUnLocked" xfId="23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worksheet" Target="worksheets/sheet54.xml"/><Relationship Id="rId57" Type="http://schemas.openxmlformats.org/officeDocument/2006/relationships/worksheet" Target="worksheets/sheet55.xml"/><Relationship Id="rId58" Type="http://schemas.openxmlformats.org/officeDocument/2006/relationships/worksheet" Target="worksheets/sheet56.xml"/><Relationship Id="rId59" Type="http://schemas.openxmlformats.org/officeDocument/2006/relationships/worksheet" Target="worksheets/sheet57.xml"/><Relationship Id="rId60" Type="http://schemas.openxmlformats.org/officeDocument/2006/relationships/worksheet" Target="worksheets/sheet58.xml"/><Relationship Id="rId61" Type="http://schemas.openxmlformats.org/officeDocument/2006/relationships/worksheet" Target="worksheets/sheet59.xml"/><Relationship Id="rId62" Type="http://schemas.openxmlformats.org/officeDocument/2006/relationships/worksheet" Target="worksheets/sheet60.xml"/><Relationship Id="rId63" Type="http://schemas.openxmlformats.org/officeDocument/2006/relationships/worksheet" Target="worksheets/sheet61.xml"/><Relationship Id="rId64" Type="http://schemas.openxmlformats.org/officeDocument/2006/relationships/worksheet" Target="worksheets/sheet62.xml"/><Relationship Id="rId65" Type="http://schemas.openxmlformats.org/officeDocument/2006/relationships/worksheet" Target="worksheets/sheet63.xml"/><Relationship Id="rId66" Type="http://schemas.openxmlformats.org/officeDocument/2006/relationships/worksheet" Target="worksheets/sheet64.xml"/><Relationship Id="rId67" Type="http://schemas.openxmlformats.org/officeDocument/2006/relationships/worksheet" Target="worksheets/sheet65.xml"/><Relationship Id="rId68" Type="http://schemas.openxmlformats.org/officeDocument/2006/relationships/worksheet" Target="worksheets/sheet66.xml"/><Relationship Id="rId69" Type="http://schemas.openxmlformats.org/officeDocument/2006/relationships/worksheet" Target="worksheets/sheet67.xml"/><Relationship Id="rId70" Type="http://schemas.openxmlformats.org/officeDocument/2006/relationships/externalLink" Target="externalLinks/externalLink1.xml"/><Relationship Id="rId71" Type="http://schemas.openxmlformats.org/officeDocument/2006/relationships/externalLink" Target="externalLinks/externalLink2.xml"/><Relationship Id="rId72" Type="http://schemas.openxmlformats.org/officeDocument/2006/relationships/externalLink" Target="externalLinks/externalLink3.xml"/><Relationship Id="rId73" Type="http://schemas.openxmlformats.org/officeDocument/2006/relationships/externalLink" Target="externalLinks/externalLink4.xml"/><Relationship Id="rId74" Type="http://schemas.openxmlformats.org/officeDocument/2006/relationships/externalLink" Target="externalLinks/externalLink5.xml"/><Relationship Id="rId75" Type="http://schemas.openxmlformats.org/officeDocument/2006/relationships/externalLink" Target="externalLinks/externalLink6.xml"/><Relationship Id="rId76" Type="http://schemas.openxmlformats.org/officeDocument/2006/relationships/externalLink" Target="externalLinks/externalLink7.xml"/><Relationship Id="rId77" Type="http://schemas.openxmlformats.org/officeDocument/2006/relationships/externalLink" Target="externalLinks/externalLink8.xml"/><Relationship Id="rId78" Type="http://schemas.openxmlformats.org/officeDocument/2006/relationships/externalLink" Target="externalLinks/externalLink9.xml"/><Relationship Id="rId79" Type="http://schemas.openxmlformats.org/officeDocument/2006/relationships/externalLink" Target="externalLinks/externalLink10.xml"/><Relationship Id="rId80" Type="http://schemas.openxmlformats.org/officeDocument/2006/relationships/externalLink" Target="externalLinks/externalLink11.xml"/><Relationship Id="rId81" Type="http://schemas.openxmlformats.org/officeDocument/2006/relationships/externalLink" Target="externalLinks/externalLink12.xml"/><Relationship Id="rId82" Type="http://schemas.openxmlformats.org/officeDocument/2006/relationships/externalLink" Target="externalLinks/externalLink13.xml"/><Relationship Id="rId83" Type="http://schemas.openxmlformats.org/officeDocument/2006/relationships/externalLink" Target="externalLinks/externalLink14.xml"/><Relationship Id="rId84" Type="http://schemas.openxmlformats.org/officeDocument/2006/relationships/externalLink" Target="externalLinks/externalLink15.xml"/><Relationship Id="rId85" Type="http://schemas.openxmlformats.org/officeDocument/2006/relationships/externalLink" Target="externalLinks/externalLink16.xml"/><Relationship Id="rId86" Type="http://schemas.openxmlformats.org/officeDocument/2006/relationships/externalLink" Target="externalLinks/externalLink17.xml"/><Relationship Id="rId87" Type="http://schemas.openxmlformats.org/officeDocument/2006/relationships/externalLink" Target="externalLinks/externalLink18.xml"/><Relationship Id="rId88" Type="http://schemas.openxmlformats.org/officeDocument/2006/relationships/externalLink" Target="externalLinks/externalLink19.xml"/><Relationship Id="rId89" Type="http://schemas.openxmlformats.org/officeDocument/2006/relationships/externalLink" Target="externalLinks/externalLink20.xml"/><Relationship Id="rId90" Type="http://schemas.openxmlformats.org/officeDocument/2006/relationships/externalLink" Target="externalLinks/externalLink21.xml"/><Relationship Id="rId91" Type="http://schemas.openxmlformats.org/officeDocument/2006/relationships/externalLink" Target="externalLinks/externalLink22.xml"/><Relationship Id="rId92" Type="http://schemas.openxmlformats.org/officeDocument/2006/relationships/externalLink" Target="externalLinks/externalLink23.xml"/><Relationship Id="rId9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PR%20Trading%20Repor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Office%20of%20the%20Chair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Business%20Analysis%20&amp;%20Reporting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IT_SAP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Tax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Regulatory%20Affairs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Research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Human%20Resources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IT_Development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IT_Infra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Canada%20Sup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Natural%20Gas%20Consolidated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Legal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West%20Power%20Consolidation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IT_EOL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Competitive%20Analysi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least/Local%20Settings/Temporary%20Internet%20Files/OLK588/WPR%20Trading%20Repor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least/Local%20Settings/Temporary%20Internet%20Files/OLK588/Natural%20Gas%20Consolidate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East%20Power%20Consolidation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vandor/Local%20Settings/Temporary%20Internet%20Files/OLK180/WPR%20Trading%20Report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vandor/Local%20Settings/Temporary%20Internet%20Files/OLK180/West%20Power%20Consolidation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n%20Gas%20%20Report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nada%20Consolidat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Office of the Chair</v>
          </cell>
        </row>
      </sheetData>
      <sheetData sheetId="1">
        <row r="1">
          <cell r="B1" t="str">
            <v>Enron North America</v>
          </cell>
        </row>
        <row r="25">
          <cell r="BA25">
            <v>888807.72</v>
          </cell>
        </row>
        <row r="26">
          <cell r="BA26">
            <v>249788.37</v>
          </cell>
        </row>
        <row r="27">
          <cell r="BA27">
            <v>180082.13</v>
          </cell>
        </row>
        <row r="28">
          <cell r="BA28">
            <v>201416.5</v>
          </cell>
        </row>
        <row r="29">
          <cell r="BA29">
            <v>143473.75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10998.16</v>
          </cell>
        </row>
        <row r="34">
          <cell r="BA34">
            <v>0</v>
          </cell>
        </row>
        <row r="35">
          <cell r="BA35">
            <v>25000</v>
          </cell>
        </row>
        <row r="36">
          <cell r="BA36">
            <v>2602.32</v>
          </cell>
        </row>
        <row r="37">
          <cell r="BA37">
            <v>40643.17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47150.06</v>
          </cell>
        </row>
        <row r="41">
          <cell r="BA41">
            <v>150417.01</v>
          </cell>
        </row>
        <row r="42">
          <cell r="BA42">
            <v>243106036.82</v>
          </cell>
        </row>
        <row r="43">
          <cell r="BA43">
            <v>7417.54</v>
          </cell>
        </row>
        <row r="44">
          <cell r="BA44">
            <v>78.79</v>
          </cell>
        </row>
        <row r="45">
          <cell r="BA45">
            <v>11194108.38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  <sheetName val="fin ops"/>
      <sheetName val="cash ops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4985502.23</v>
          </cell>
        </row>
        <row r="26">
          <cell r="BA26">
            <v>1210281.11</v>
          </cell>
        </row>
        <row r="27">
          <cell r="BA27">
            <v>190029.97</v>
          </cell>
        </row>
        <row r="28">
          <cell r="BA28">
            <v>78390.58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69921.63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19039.67</v>
          </cell>
        </row>
        <row r="37">
          <cell r="BA37">
            <v>17422.02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24670.39</v>
          </cell>
        </row>
        <row r="41">
          <cell r="BA41">
            <v>481045.43</v>
          </cell>
        </row>
        <row r="42">
          <cell r="BA42">
            <v>75042.68</v>
          </cell>
        </row>
        <row r="43">
          <cell r="BA43">
            <v>-771915.88</v>
          </cell>
        </row>
        <row r="44">
          <cell r="BA44">
            <v>1226.24</v>
          </cell>
        </row>
        <row r="45">
          <cell r="BA45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17469588.96</v>
          </cell>
        </row>
        <row r="26">
          <cell r="BA26">
            <v>1272399.64</v>
          </cell>
        </row>
        <row r="27">
          <cell r="BA27">
            <v>141777.57</v>
          </cell>
        </row>
        <row r="28">
          <cell r="BA28">
            <v>100051.51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13823042.72</v>
          </cell>
        </row>
        <row r="33">
          <cell r="BA33">
            <v>7559.43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91694.45</v>
          </cell>
        </row>
        <row r="37">
          <cell r="BA37">
            <v>-7331217.46</v>
          </cell>
        </row>
        <row r="38">
          <cell r="BA38">
            <v>0</v>
          </cell>
        </row>
        <row r="39">
          <cell r="BA39">
            <v>-7489842.25</v>
          </cell>
        </row>
        <row r="40">
          <cell r="BA40">
            <v>2999489.79</v>
          </cell>
        </row>
        <row r="41">
          <cell r="BA41">
            <v>205055.59</v>
          </cell>
        </row>
        <row r="42">
          <cell r="BA42">
            <v>24774212.69</v>
          </cell>
        </row>
        <row r="43">
          <cell r="BA43">
            <v>42687168.7</v>
          </cell>
        </row>
        <row r="44">
          <cell r="BA44">
            <v>16.6</v>
          </cell>
        </row>
        <row r="45">
          <cell r="BA45">
            <v>8186094.07</v>
          </cell>
        </row>
      </sheetData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Tax</v>
          </cell>
        </row>
      </sheetData>
      <sheetData sheetId="1">
        <row r="1">
          <cell r="B1" t="str">
            <v>Enron North America</v>
          </cell>
        </row>
        <row r="25">
          <cell r="BA25">
            <v>1971599.02</v>
          </cell>
        </row>
        <row r="26">
          <cell r="BA26">
            <v>441478.67</v>
          </cell>
        </row>
        <row r="27">
          <cell r="BA27">
            <v>93416.53</v>
          </cell>
        </row>
        <row r="28">
          <cell r="BA28">
            <v>59005.25</v>
          </cell>
        </row>
        <row r="29">
          <cell r="BA29">
            <v>0</v>
          </cell>
        </row>
        <row r="30">
          <cell r="BA30">
            <v>-3920.75</v>
          </cell>
        </row>
        <row r="31">
          <cell r="BA31">
            <v>0</v>
          </cell>
        </row>
        <row r="32">
          <cell r="BA32">
            <v>195340.47</v>
          </cell>
        </row>
        <row r="33">
          <cell r="BA33">
            <v>23102.66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13879.95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37953.1</v>
          </cell>
        </row>
        <row r="41">
          <cell r="BA41">
            <v>218397.73</v>
          </cell>
        </row>
        <row r="42">
          <cell r="BA42">
            <v>23120.5</v>
          </cell>
        </row>
        <row r="43">
          <cell r="BA43">
            <v>-1506130.81</v>
          </cell>
        </row>
        <row r="44">
          <cell r="BA44">
            <v>432.37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Research</v>
          </cell>
        </row>
      </sheetData>
      <sheetData sheetId="1">
        <row r="1">
          <cell r="B1" t="str">
            <v>Enron North America</v>
          </cell>
        </row>
        <row r="25">
          <cell r="BA25">
            <v>3640949.9</v>
          </cell>
        </row>
        <row r="26">
          <cell r="BA26">
            <v>762369.14</v>
          </cell>
        </row>
        <row r="27">
          <cell r="BA27">
            <v>173944.73</v>
          </cell>
        </row>
        <row r="28">
          <cell r="BA28">
            <v>293972.73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67481.55</v>
          </cell>
        </row>
        <row r="33">
          <cell r="BA33">
            <v>48511.92</v>
          </cell>
        </row>
        <row r="34">
          <cell r="BA34">
            <v>0</v>
          </cell>
        </row>
        <row r="35">
          <cell r="BA35">
            <v>2500</v>
          </cell>
        </row>
        <row r="36">
          <cell r="BA36">
            <v>0</v>
          </cell>
        </row>
        <row r="37">
          <cell r="BA37">
            <v>129576.92</v>
          </cell>
        </row>
        <row r="38">
          <cell r="BA38">
            <v>10.03</v>
          </cell>
        </row>
        <row r="39">
          <cell r="BA39">
            <v>0</v>
          </cell>
        </row>
        <row r="40">
          <cell r="BA40">
            <v>147341.9</v>
          </cell>
        </row>
        <row r="41">
          <cell r="BA41">
            <v>285701.8</v>
          </cell>
        </row>
        <row r="42">
          <cell r="BA42">
            <v>302115.48</v>
          </cell>
        </row>
        <row r="43">
          <cell r="BA43">
            <v>-4445984</v>
          </cell>
        </row>
        <row r="44">
          <cell r="BA44">
            <v>774.43</v>
          </cell>
        </row>
        <row r="45">
          <cell r="BA45">
            <v>1176.06</v>
          </cell>
        </row>
      </sheetData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3696902.52</v>
          </cell>
        </row>
        <row r="26">
          <cell r="BA26">
            <v>823813.24</v>
          </cell>
        </row>
        <row r="27">
          <cell r="BA27">
            <v>-177210.59</v>
          </cell>
        </row>
        <row r="28">
          <cell r="BA28">
            <v>238343.32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93641.7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3626.4</v>
          </cell>
        </row>
        <row r="37">
          <cell r="BA37">
            <v>121524.64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77797.27</v>
          </cell>
        </row>
        <row r="41">
          <cell r="BA41">
            <v>677124.54</v>
          </cell>
        </row>
        <row r="42">
          <cell r="BA42">
            <v>33298.46</v>
          </cell>
        </row>
        <row r="43">
          <cell r="BA43">
            <v>-1637349.75</v>
          </cell>
        </row>
        <row r="44">
          <cell r="BA44">
            <v>1737.16</v>
          </cell>
        </row>
        <row r="45">
          <cell r="BA45">
            <v>15745.09</v>
          </cell>
        </row>
      </sheetData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Canada Support</v>
          </cell>
        </row>
      </sheetData>
      <sheetData sheetId="1">
        <row r="1">
          <cell r="B1" t="str">
            <v>Enron North America</v>
          </cell>
        </row>
        <row r="25">
          <cell r="BA25">
            <v>3097005.18</v>
          </cell>
        </row>
        <row r="26">
          <cell r="BA26">
            <v>405010.4</v>
          </cell>
        </row>
        <row r="27">
          <cell r="BA27">
            <v>309437.02</v>
          </cell>
        </row>
        <row r="28">
          <cell r="BA28">
            <v>270791.23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5703579.58</v>
          </cell>
        </row>
        <row r="33">
          <cell r="BA33">
            <v>132382.8</v>
          </cell>
        </row>
        <row r="34">
          <cell r="BA34">
            <v>0</v>
          </cell>
        </row>
        <row r="35">
          <cell r="BA35">
            <v>36209.44</v>
          </cell>
        </row>
        <row r="36">
          <cell r="BA36">
            <v>489327.92</v>
          </cell>
        </row>
        <row r="37">
          <cell r="BA37">
            <v>23628.12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25924.2</v>
          </cell>
        </row>
        <row r="41">
          <cell r="BA41">
            <v>1904.73</v>
          </cell>
        </row>
        <row r="42">
          <cell r="BA42">
            <v>308878.27</v>
          </cell>
        </row>
        <row r="43">
          <cell r="BA43">
            <v>-612901.88</v>
          </cell>
        </row>
        <row r="44">
          <cell r="BA44">
            <v>30.12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West Power"/>
      <sheetName val="Fund-Struct"/>
      <sheetName val="Executive Orig"/>
      <sheetName val="Origination"/>
      <sheetName val="Trading"/>
      <sheetName val="Mid Market"/>
      <sheetName val="Services"/>
      <sheetName val="Fundamentals"/>
    </sheetNames>
    <sheetDataSet>
      <sheetData sheetId="0"/>
      <sheetData sheetId="1"/>
      <sheetData sheetId="2">
        <row r="8">
          <cell r="C8">
            <v>239634.01</v>
          </cell>
        </row>
        <row r="9">
          <cell r="C9">
            <v>40000</v>
          </cell>
        </row>
        <row r="10">
          <cell r="C10">
            <v>16800</v>
          </cell>
        </row>
        <row r="11">
          <cell r="C11">
            <v>39290.63</v>
          </cell>
        </row>
        <row r="12">
          <cell r="C12">
            <v>17889.27</v>
          </cell>
        </row>
        <row r="13">
          <cell r="C13">
            <v>43129.5</v>
          </cell>
        </row>
        <row r="14">
          <cell r="C14">
            <v>45237.92</v>
          </cell>
        </row>
        <row r="15">
          <cell r="C15">
            <v>4511.29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3818.79</v>
          </cell>
        </row>
        <row r="19">
          <cell r="C19">
            <v>18427.65</v>
          </cell>
        </row>
        <row r="20">
          <cell r="C20">
            <v>0</v>
          </cell>
        </row>
        <row r="21">
          <cell r="C21">
            <v>23306.05</v>
          </cell>
        </row>
        <row r="22">
          <cell r="C22">
            <v>1425.29</v>
          </cell>
        </row>
        <row r="25">
          <cell r="E25">
            <v>4</v>
          </cell>
        </row>
        <row r="27">
          <cell r="E27">
            <v>2</v>
          </cell>
        </row>
      </sheetData>
      <sheetData sheetId="3">
        <row r="8">
          <cell r="C8">
            <v>1414950.7</v>
          </cell>
        </row>
        <row r="9">
          <cell r="C9">
            <v>150000</v>
          </cell>
        </row>
        <row r="10">
          <cell r="C10">
            <v>214200</v>
          </cell>
        </row>
        <row r="11">
          <cell r="C11">
            <v>299162.16</v>
          </cell>
        </row>
        <row r="12">
          <cell r="C12">
            <v>96496.17</v>
          </cell>
        </row>
        <row r="13">
          <cell r="C13">
            <v>381261.27</v>
          </cell>
        </row>
        <row r="14">
          <cell r="C14">
            <v>358852.89</v>
          </cell>
        </row>
        <row r="15">
          <cell r="C15">
            <v>11981.99</v>
          </cell>
        </row>
        <row r="16">
          <cell r="C16">
            <v>0</v>
          </cell>
        </row>
        <row r="17">
          <cell r="C17">
            <v>7050</v>
          </cell>
        </row>
        <row r="18">
          <cell r="C18">
            <v>141212.3</v>
          </cell>
        </row>
        <row r="19">
          <cell r="C19">
            <v>11584.29</v>
          </cell>
        </row>
        <row r="20">
          <cell r="C20">
            <v>116.15</v>
          </cell>
        </row>
        <row r="21">
          <cell r="C21">
            <v>55889.01</v>
          </cell>
        </row>
        <row r="22">
          <cell r="C22">
            <v>11413.48</v>
          </cell>
        </row>
        <row r="25">
          <cell r="E25">
            <v>14</v>
          </cell>
        </row>
        <row r="27">
          <cell r="E27">
            <v>2</v>
          </cell>
        </row>
      </sheetData>
      <sheetData sheetId="4">
        <row r="8">
          <cell r="C8">
            <v>2252130.5</v>
          </cell>
        </row>
        <row r="9">
          <cell r="C9">
            <v>1135500</v>
          </cell>
        </row>
        <row r="10">
          <cell r="C10">
            <v>557967</v>
          </cell>
        </row>
        <row r="11">
          <cell r="C11">
            <v>551903.41</v>
          </cell>
        </row>
        <row r="12">
          <cell r="C12">
            <v>503728.11</v>
          </cell>
        </row>
        <row r="13">
          <cell r="C13">
            <v>198594.99</v>
          </cell>
        </row>
        <row r="14">
          <cell r="C14">
            <v>182158.55</v>
          </cell>
        </row>
        <row r="15">
          <cell r="C15">
            <v>95696.91</v>
          </cell>
        </row>
        <row r="16">
          <cell r="C16">
            <v>0</v>
          </cell>
        </row>
        <row r="17">
          <cell r="C17">
            <v>1750</v>
          </cell>
        </row>
        <row r="18">
          <cell r="C18">
            <v>176422.81</v>
          </cell>
        </row>
        <row r="19">
          <cell r="C19">
            <v>105076.46</v>
          </cell>
        </row>
        <row r="20">
          <cell r="C20">
            <v>0</v>
          </cell>
        </row>
        <row r="21">
          <cell r="C21">
            <v>443149.94</v>
          </cell>
        </row>
        <row r="22">
          <cell r="C22">
            <v>45029.47</v>
          </cell>
        </row>
        <row r="25">
          <cell r="E25">
            <v>44</v>
          </cell>
        </row>
        <row r="27">
          <cell r="E27">
            <v>10</v>
          </cell>
        </row>
      </sheetData>
      <sheetData sheetId="5">
        <row r="8">
          <cell r="C8">
            <v>441152.37</v>
          </cell>
        </row>
        <row r="9">
          <cell r="C9">
            <v>5000</v>
          </cell>
        </row>
        <row r="10">
          <cell r="C10">
            <v>0</v>
          </cell>
        </row>
        <row r="11">
          <cell r="C11">
            <v>95688.11</v>
          </cell>
        </row>
        <row r="12">
          <cell r="C12">
            <v>21174.13</v>
          </cell>
        </row>
        <row r="13">
          <cell r="C13">
            <v>72009.7</v>
          </cell>
        </row>
        <row r="14">
          <cell r="C14">
            <v>40914.38</v>
          </cell>
        </row>
        <row r="15">
          <cell r="C15">
            <v>12922.06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2288.45</v>
          </cell>
        </row>
        <row r="19">
          <cell r="C19">
            <v>5065</v>
          </cell>
        </row>
        <row r="20">
          <cell r="C20">
            <v>0</v>
          </cell>
        </row>
        <row r="21">
          <cell r="C21">
            <v>3737.88</v>
          </cell>
        </row>
        <row r="22">
          <cell r="C22">
            <v>8112.83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6">
        <row r="8">
          <cell r="C8">
            <v>166916.69</v>
          </cell>
        </row>
        <row r="9">
          <cell r="C9">
            <v>16000</v>
          </cell>
        </row>
        <row r="10">
          <cell r="C10">
            <v>0</v>
          </cell>
        </row>
        <row r="11">
          <cell r="C11">
            <v>43743.03</v>
          </cell>
        </row>
        <row r="12">
          <cell r="C12">
            <v>2719.32</v>
          </cell>
        </row>
        <row r="13">
          <cell r="C13">
            <v>9726.85</v>
          </cell>
        </row>
        <row r="14">
          <cell r="C14">
            <v>27236.06</v>
          </cell>
        </row>
        <row r="15">
          <cell r="C15">
            <v>673.12</v>
          </cell>
        </row>
        <row r="16">
          <cell r="C16">
            <v>0</v>
          </cell>
        </row>
        <row r="17">
          <cell r="C17">
            <v>2500</v>
          </cell>
        </row>
        <row r="18">
          <cell r="C18">
            <v>938.06</v>
          </cell>
        </row>
        <row r="19">
          <cell r="C19">
            <v>350</v>
          </cell>
        </row>
        <row r="20">
          <cell r="C20">
            <v>0</v>
          </cell>
        </row>
        <row r="21">
          <cell r="C21">
            <v>492.88</v>
          </cell>
        </row>
        <row r="22">
          <cell r="C22">
            <v>5418.95</v>
          </cell>
        </row>
        <row r="25">
          <cell r="E25">
            <v>2</v>
          </cell>
        </row>
        <row r="27">
          <cell r="E27">
            <v>0</v>
          </cell>
        </row>
      </sheetData>
      <sheetData sheetId="7">
        <row r="8">
          <cell r="C8">
            <v>275174.72</v>
          </cell>
        </row>
        <row r="9">
          <cell r="C9">
            <v>117500</v>
          </cell>
        </row>
        <row r="10">
          <cell r="C10">
            <v>15600</v>
          </cell>
        </row>
        <row r="11">
          <cell r="C11">
            <v>66280.87</v>
          </cell>
        </row>
        <row r="12">
          <cell r="C12">
            <v>16110.68</v>
          </cell>
        </row>
        <row r="13">
          <cell r="C13">
            <v>15051.49</v>
          </cell>
        </row>
        <row r="14">
          <cell r="C14">
            <v>22922.44</v>
          </cell>
        </row>
        <row r="15">
          <cell r="C15">
            <v>3104.77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2767.33</v>
          </cell>
        </row>
        <row r="19">
          <cell r="C19">
            <v>15341.97</v>
          </cell>
        </row>
        <row r="20">
          <cell r="C20">
            <v>0</v>
          </cell>
        </row>
        <row r="21">
          <cell r="C21">
            <v>40294.17</v>
          </cell>
        </row>
        <row r="22">
          <cell r="C22">
            <v>4309.63</v>
          </cell>
        </row>
        <row r="25">
          <cell r="E25">
            <v>5</v>
          </cell>
        </row>
        <row r="27">
          <cell r="E27">
            <v>1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Competitive Analysis</v>
          </cell>
        </row>
      </sheetData>
      <sheetData sheetId="1">
        <row r="1">
          <cell r="B1" t="str">
            <v>Enron North America</v>
          </cell>
        </row>
        <row r="25">
          <cell r="BA25">
            <v>1004954.44</v>
          </cell>
        </row>
        <row r="26">
          <cell r="BA26">
            <v>241285.2</v>
          </cell>
        </row>
        <row r="27">
          <cell r="BA27">
            <v>64034.85</v>
          </cell>
        </row>
        <row r="28">
          <cell r="BA28">
            <v>201286.6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1140922.94</v>
          </cell>
        </row>
        <row r="33">
          <cell r="BA33">
            <v>21945.55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837.87</v>
          </cell>
        </row>
        <row r="37">
          <cell r="BA37">
            <v>24222.35</v>
          </cell>
        </row>
        <row r="38">
          <cell r="BA38">
            <v>8.15</v>
          </cell>
        </row>
        <row r="39">
          <cell r="BA39">
            <v>0</v>
          </cell>
        </row>
        <row r="40">
          <cell r="BA40">
            <v>155543.13</v>
          </cell>
        </row>
        <row r="41">
          <cell r="BA41">
            <v>132051.71</v>
          </cell>
        </row>
        <row r="42">
          <cell r="BA42">
            <v>196834.1</v>
          </cell>
        </row>
        <row r="43">
          <cell r="BA43">
            <v>-1900070.79</v>
          </cell>
        </row>
        <row r="44">
          <cell r="BA44">
            <v>474.19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ast Power Consolidated"/>
      <sheetName val="Fund-Struct"/>
      <sheetName val="Ercot Trading"/>
      <sheetName val="Ercot Origination"/>
      <sheetName val="Southeast Trading"/>
      <sheetName val="Southeast Origination"/>
      <sheetName val="Midwest Trading"/>
      <sheetName val="Midwest Origination"/>
      <sheetName val="Northeast Trading"/>
      <sheetName val="Northeast Origination"/>
      <sheetName val="Management Book"/>
      <sheetName val="Structuring_Fund"/>
      <sheetName val="Services"/>
      <sheetName val="Options"/>
    </sheetNames>
    <sheetDataSet>
      <sheetData sheetId="0"/>
      <sheetData sheetId="1"/>
      <sheetData sheetId="2">
        <row r="8">
          <cell r="C8">
            <v>435566.23</v>
          </cell>
        </row>
        <row r="9">
          <cell r="C9">
            <v>57500</v>
          </cell>
        </row>
        <row r="10">
          <cell r="C10">
            <v>136200</v>
          </cell>
        </row>
        <row r="11">
          <cell r="C11">
            <v>96245.64</v>
          </cell>
        </row>
        <row r="12">
          <cell r="C12">
            <v>35923.87</v>
          </cell>
        </row>
        <row r="13">
          <cell r="C13">
            <v>15703.86</v>
          </cell>
        </row>
        <row r="14">
          <cell r="C14">
            <v>0</v>
          </cell>
        </row>
        <row r="15">
          <cell r="C15">
            <v>6868.09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63424.47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197.290000000008</v>
          </cell>
        </row>
        <row r="22">
          <cell r="C22">
            <v>81.42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3">
        <row r="8">
          <cell r="C8">
            <v>264134.34</v>
          </cell>
        </row>
        <row r="9">
          <cell r="C9">
            <v>115000</v>
          </cell>
        </row>
        <row r="10">
          <cell r="C10">
            <v>87371</v>
          </cell>
        </row>
        <row r="11">
          <cell r="C11">
            <v>94561.45</v>
          </cell>
        </row>
        <row r="12">
          <cell r="C12">
            <v>17122.72</v>
          </cell>
        </row>
        <row r="13">
          <cell r="C13">
            <v>66686.52</v>
          </cell>
        </row>
        <row r="14">
          <cell r="C14">
            <v>2489.47</v>
          </cell>
        </row>
        <row r="15">
          <cell r="C15">
            <v>2719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300</v>
          </cell>
        </row>
        <row r="17">
          <cell r="K17">
            <v>0</v>
          </cell>
        </row>
        <row r="18">
          <cell r="C18">
            <v>129.24</v>
          </cell>
        </row>
        <row r="18">
          <cell r="K18">
            <v>0</v>
          </cell>
        </row>
        <row r="19">
          <cell r="C19">
            <v>1267.8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1704.48</v>
          </cell>
        </row>
        <row r="22">
          <cell r="C22">
            <v>54</v>
          </cell>
        </row>
        <row r="25">
          <cell r="E25">
            <v>3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4">
        <row r="8">
          <cell r="C8">
            <v>713168.45</v>
          </cell>
        </row>
        <row r="9">
          <cell r="C9">
            <v>130000</v>
          </cell>
        </row>
        <row r="10">
          <cell r="C10">
            <v>167015</v>
          </cell>
        </row>
        <row r="11">
          <cell r="C11">
            <v>157936.78</v>
          </cell>
        </row>
        <row r="12">
          <cell r="C12">
            <v>44114.16</v>
          </cell>
        </row>
        <row r="13">
          <cell r="C13">
            <v>43025.3</v>
          </cell>
        </row>
        <row r="14">
          <cell r="C14">
            <v>28750</v>
          </cell>
        </row>
        <row r="15">
          <cell r="C15">
            <v>433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14417.72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30.8999999999942</v>
          </cell>
        </row>
        <row r="22">
          <cell r="C22">
            <v>123.97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4</v>
          </cell>
        </row>
        <row r="27">
          <cell r="K27">
            <v>0</v>
          </cell>
        </row>
      </sheetData>
      <sheetData sheetId="5">
        <row r="8">
          <cell r="C8">
            <v>501061.72</v>
          </cell>
        </row>
        <row r="9">
          <cell r="C9">
            <v>7500</v>
          </cell>
        </row>
        <row r="10">
          <cell r="C10">
            <v>345600</v>
          </cell>
        </row>
        <row r="11">
          <cell r="C11">
            <v>112865</v>
          </cell>
        </row>
        <row r="12">
          <cell r="C12">
            <v>43971.2</v>
          </cell>
        </row>
        <row r="13">
          <cell r="C13">
            <v>272272.65</v>
          </cell>
        </row>
        <row r="14">
          <cell r="C14">
            <v>25184.14</v>
          </cell>
        </row>
        <row r="15">
          <cell r="C15">
            <v>6445.68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54297.13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10598.03</v>
          </cell>
        </row>
        <row r="22">
          <cell r="C22">
            <v>81.47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6">
        <row r="8">
          <cell r="C8">
            <v>742310.07</v>
          </cell>
        </row>
        <row r="9">
          <cell r="C9">
            <v>100000</v>
          </cell>
        </row>
        <row r="10">
          <cell r="C10">
            <v>221148</v>
          </cell>
        </row>
        <row r="11">
          <cell r="C11">
            <v>169144.2</v>
          </cell>
        </row>
        <row r="12">
          <cell r="C12">
            <v>16314.75</v>
          </cell>
        </row>
        <row r="13">
          <cell r="C13">
            <v>35684.49</v>
          </cell>
        </row>
        <row r="14">
          <cell r="C14">
            <v>12093.23</v>
          </cell>
        </row>
        <row r="15">
          <cell r="C15">
            <v>578.05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5658.16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2821.62</v>
          </cell>
        </row>
        <row r="22">
          <cell r="C22">
            <v>144.88</v>
          </cell>
        </row>
        <row r="25">
          <cell r="E25">
            <v>10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2</v>
          </cell>
        </row>
        <row r="27">
          <cell r="K27">
            <v>0</v>
          </cell>
        </row>
      </sheetData>
      <sheetData sheetId="7">
        <row r="8">
          <cell r="C8">
            <v>677169.81</v>
          </cell>
        </row>
        <row r="9">
          <cell r="C9">
            <v>250000</v>
          </cell>
        </row>
        <row r="10">
          <cell r="C10">
            <v>188354</v>
          </cell>
        </row>
        <row r="11">
          <cell r="C11">
            <v>120189.64</v>
          </cell>
        </row>
        <row r="12">
          <cell r="C12">
            <v>29402.57</v>
          </cell>
        </row>
        <row r="13">
          <cell r="C13">
            <v>92160.45</v>
          </cell>
        </row>
        <row r="14">
          <cell r="C14">
            <v>242.05</v>
          </cell>
        </row>
        <row r="15">
          <cell r="C15">
            <v>9557.08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158.21</v>
          </cell>
        </row>
        <row r="18">
          <cell r="K18">
            <v>0</v>
          </cell>
        </row>
        <row r="19">
          <cell r="C19">
            <v>9885.14</v>
          </cell>
        </row>
        <row r="19">
          <cell r="K19">
            <v>0</v>
          </cell>
        </row>
        <row r="20">
          <cell r="C20">
            <v>20.9</v>
          </cell>
        </row>
        <row r="21">
          <cell r="C21">
            <v>18010.46</v>
          </cell>
        </row>
        <row r="22">
          <cell r="C22">
            <v>106.7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3</v>
          </cell>
        </row>
        <row r="27">
          <cell r="K27">
            <v>0</v>
          </cell>
        </row>
      </sheetData>
      <sheetData sheetId="8">
        <row r="8">
          <cell r="C8">
            <v>903642.27</v>
          </cell>
        </row>
        <row r="9">
          <cell r="C9">
            <v>390000</v>
          </cell>
        </row>
        <row r="10">
          <cell r="C10">
            <v>232380</v>
          </cell>
        </row>
        <row r="11">
          <cell r="C11">
            <v>220674.42</v>
          </cell>
        </row>
        <row r="12">
          <cell r="C12">
            <v>25845.53</v>
          </cell>
        </row>
        <row r="13">
          <cell r="C13">
            <v>13971.93</v>
          </cell>
        </row>
        <row r="14">
          <cell r="C14">
            <v>0</v>
          </cell>
        </row>
        <row r="15">
          <cell r="C15">
            <v>333.47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14862.38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8467.47</v>
          </cell>
        </row>
        <row r="22">
          <cell r="C22">
            <v>168.96</v>
          </cell>
        </row>
        <row r="25">
          <cell r="E25">
            <v>12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8</v>
          </cell>
        </row>
        <row r="27">
          <cell r="K27">
            <v>0</v>
          </cell>
        </row>
      </sheetData>
      <sheetData sheetId="9">
        <row r="8">
          <cell r="C8">
            <v>663063.49</v>
          </cell>
        </row>
        <row r="9">
          <cell r="C9">
            <v>50000</v>
          </cell>
        </row>
        <row r="10">
          <cell r="C10">
            <v>283250</v>
          </cell>
        </row>
        <row r="11">
          <cell r="C11">
            <v>136045.92</v>
          </cell>
        </row>
        <row r="12">
          <cell r="C12">
            <v>39620.5</v>
          </cell>
        </row>
        <row r="13">
          <cell r="C13">
            <v>200036.59</v>
          </cell>
        </row>
        <row r="14">
          <cell r="C14">
            <v>20336.08</v>
          </cell>
        </row>
        <row r="15">
          <cell r="C15">
            <v>2960.78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1975.28</v>
          </cell>
        </row>
        <row r="19">
          <cell r="K19">
            <v>0</v>
          </cell>
        </row>
        <row r="20">
          <cell r="C20">
            <v>17.42</v>
          </cell>
        </row>
        <row r="21">
          <cell r="C21">
            <v>13949.08</v>
          </cell>
        </row>
        <row r="22">
          <cell r="C22">
            <v>105.32</v>
          </cell>
        </row>
        <row r="25">
          <cell r="E25">
            <v>9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10">
        <row r="8">
          <cell r="C8">
            <v>345705.82</v>
          </cell>
        </row>
        <row r="9">
          <cell r="C9">
            <v>150000</v>
          </cell>
        </row>
        <row r="10">
          <cell r="C10">
            <v>146692</v>
          </cell>
        </row>
        <row r="11">
          <cell r="C11">
            <v>109518.69</v>
          </cell>
        </row>
        <row r="12">
          <cell r="C12">
            <v>145400.1</v>
          </cell>
        </row>
        <row r="13">
          <cell r="C13">
            <v>165802.99</v>
          </cell>
        </row>
        <row r="14">
          <cell r="C14">
            <v>296513.4</v>
          </cell>
        </row>
        <row r="15">
          <cell r="C15">
            <v>50390.18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5000</v>
          </cell>
        </row>
        <row r="17">
          <cell r="K17">
            <v>0</v>
          </cell>
        </row>
        <row r="18">
          <cell r="C18">
            <v>-0.160000000003492</v>
          </cell>
        </row>
        <row r="18">
          <cell r="K18">
            <v>0</v>
          </cell>
        </row>
        <row r="19">
          <cell r="C19">
            <v>139857</v>
          </cell>
        </row>
        <row r="19">
          <cell r="K19">
            <v>0</v>
          </cell>
        </row>
        <row r="20">
          <cell r="C20">
            <v>-0.149999999999999</v>
          </cell>
        </row>
        <row r="21">
          <cell r="C21">
            <v>379439.21</v>
          </cell>
        </row>
        <row r="22">
          <cell r="C22">
            <v>151.43</v>
          </cell>
        </row>
        <row r="25">
          <cell r="E25">
            <v>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1">
        <row r="8">
          <cell r="C8">
            <v>987140.56</v>
          </cell>
        </row>
        <row r="9">
          <cell r="C9">
            <v>95000</v>
          </cell>
        </row>
        <row r="10">
          <cell r="C10">
            <v>777100</v>
          </cell>
        </row>
        <row r="11">
          <cell r="C11">
            <v>233487.59</v>
          </cell>
        </row>
        <row r="12">
          <cell r="C12">
            <v>140603.93</v>
          </cell>
        </row>
        <row r="13">
          <cell r="C13">
            <v>78714.61</v>
          </cell>
        </row>
        <row r="14">
          <cell r="C14">
            <v>138341.62</v>
          </cell>
        </row>
        <row r="15">
          <cell r="C15">
            <v>12308.9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180017.87</v>
          </cell>
        </row>
        <row r="19">
          <cell r="K19">
            <v>0</v>
          </cell>
        </row>
        <row r="20">
          <cell r="C20">
            <v>40.01</v>
          </cell>
        </row>
        <row r="21">
          <cell r="C21">
            <v>196871.17</v>
          </cell>
        </row>
        <row r="22">
          <cell r="C22">
            <v>172.09</v>
          </cell>
        </row>
        <row r="25">
          <cell r="E25">
            <v>15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14</v>
          </cell>
        </row>
        <row r="27">
          <cell r="K27">
            <v>0</v>
          </cell>
        </row>
      </sheetData>
      <sheetData sheetId="12">
        <row r="8">
          <cell r="C8">
            <v>197185.15</v>
          </cell>
        </row>
        <row r="9">
          <cell r="C9">
            <v>0</v>
          </cell>
        </row>
        <row r="10">
          <cell r="C10">
            <v>7800</v>
          </cell>
        </row>
        <row r="11">
          <cell r="C11">
            <v>40348.02</v>
          </cell>
        </row>
        <row r="12">
          <cell r="C12">
            <v>11786.19</v>
          </cell>
        </row>
        <row r="13">
          <cell r="C13">
            <v>13423</v>
          </cell>
        </row>
        <row r="14">
          <cell r="C14">
            <v>117.39</v>
          </cell>
        </row>
        <row r="15">
          <cell r="C15">
            <v>0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1247.28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36</v>
          </cell>
        </row>
        <row r="22">
          <cell r="C22">
            <v>0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3">
        <row r="8">
          <cell r="C8">
            <v>210626.89</v>
          </cell>
        </row>
        <row r="9">
          <cell r="C9">
            <v>115000</v>
          </cell>
        </row>
        <row r="10">
          <cell r="C10">
            <v>59600</v>
          </cell>
        </row>
        <row r="11">
          <cell r="C11">
            <v>45326.11</v>
          </cell>
        </row>
        <row r="12">
          <cell r="C12">
            <v>6351.68</v>
          </cell>
        </row>
        <row r="13">
          <cell r="C13">
            <v>16883.02</v>
          </cell>
        </row>
        <row r="14">
          <cell r="C14">
            <v>0</v>
          </cell>
        </row>
        <row r="15">
          <cell r="C15">
            <v>632.9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238.97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1282.79</v>
          </cell>
        </row>
        <row r="22">
          <cell r="C22">
            <v>0</v>
          </cell>
        </row>
        <row r="25">
          <cell r="E25">
            <v>4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West Power"/>
      <sheetName val="Fund-Struct"/>
      <sheetName val="Executive Orig"/>
      <sheetName val="Origination"/>
      <sheetName val="Trading"/>
      <sheetName val="Mid Market"/>
      <sheetName val="Services"/>
      <sheetName val="Fundamentals"/>
    </sheetNames>
    <sheetDataSet>
      <sheetData sheetId="0"/>
      <sheetData sheetId="1"/>
      <sheetData sheetId="2">
        <row r="8">
          <cell r="C8">
            <v>239634.01</v>
          </cell>
        </row>
        <row r="9">
          <cell r="C9">
            <v>40000</v>
          </cell>
        </row>
        <row r="10">
          <cell r="C10">
            <v>16800</v>
          </cell>
        </row>
        <row r="11">
          <cell r="C11">
            <v>39290.63</v>
          </cell>
        </row>
        <row r="12">
          <cell r="C12">
            <v>17889.27</v>
          </cell>
        </row>
        <row r="13">
          <cell r="C13">
            <v>43129.5</v>
          </cell>
        </row>
        <row r="14">
          <cell r="C14">
            <v>45237.92</v>
          </cell>
        </row>
        <row r="15">
          <cell r="C15">
            <v>4511.29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3818.79</v>
          </cell>
        </row>
        <row r="19">
          <cell r="C19">
            <v>18427.65</v>
          </cell>
        </row>
        <row r="20">
          <cell r="C20">
            <v>0</v>
          </cell>
        </row>
        <row r="21">
          <cell r="C21">
            <v>23306.05</v>
          </cell>
        </row>
        <row r="22">
          <cell r="C22">
            <v>1425.29</v>
          </cell>
        </row>
        <row r="25">
          <cell r="E25">
            <v>4</v>
          </cell>
        </row>
        <row r="27">
          <cell r="E27">
            <v>2</v>
          </cell>
        </row>
      </sheetData>
      <sheetData sheetId="3">
        <row r="8">
          <cell r="C8">
            <v>1414950.7</v>
          </cell>
        </row>
        <row r="9">
          <cell r="C9">
            <v>150000</v>
          </cell>
        </row>
        <row r="10">
          <cell r="C10">
            <v>214200</v>
          </cell>
        </row>
        <row r="11">
          <cell r="C11">
            <v>299162.16</v>
          </cell>
        </row>
        <row r="12">
          <cell r="C12">
            <v>96496.17</v>
          </cell>
        </row>
        <row r="13">
          <cell r="C13">
            <v>381261.27</v>
          </cell>
        </row>
        <row r="14">
          <cell r="C14">
            <v>358852.89</v>
          </cell>
        </row>
        <row r="15">
          <cell r="C15">
            <v>11981.99</v>
          </cell>
        </row>
        <row r="16">
          <cell r="C16">
            <v>0</v>
          </cell>
        </row>
        <row r="17">
          <cell r="C17">
            <v>7050</v>
          </cell>
        </row>
        <row r="18">
          <cell r="C18">
            <v>141212.3</v>
          </cell>
        </row>
        <row r="19">
          <cell r="C19">
            <v>11584.29</v>
          </cell>
        </row>
        <row r="20">
          <cell r="C20">
            <v>116.15</v>
          </cell>
        </row>
        <row r="21">
          <cell r="C21">
            <v>55889.01</v>
          </cell>
        </row>
        <row r="22">
          <cell r="C22">
            <v>11413.48</v>
          </cell>
        </row>
        <row r="25">
          <cell r="E25">
            <v>14</v>
          </cell>
        </row>
        <row r="27">
          <cell r="E27">
            <v>2</v>
          </cell>
        </row>
      </sheetData>
      <sheetData sheetId="4">
        <row r="8">
          <cell r="C8">
            <v>2252130.5</v>
          </cell>
        </row>
        <row r="9">
          <cell r="C9">
            <v>1135500</v>
          </cell>
        </row>
        <row r="10">
          <cell r="C10">
            <v>557967</v>
          </cell>
        </row>
        <row r="11">
          <cell r="C11">
            <v>551903.41</v>
          </cell>
        </row>
        <row r="12">
          <cell r="C12">
            <v>503728.11</v>
          </cell>
        </row>
        <row r="13">
          <cell r="C13">
            <v>198594.99</v>
          </cell>
        </row>
        <row r="14">
          <cell r="C14">
            <v>182158.55</v>
          </cell>
        </row>
        <row r="15">
          <cell r="C15">
            <v>95696.91</v>
          </cell>
        </row>
        <row r="16">
          <cell r="C16">
            <v>0</v>
          </cell>
        </row>
        <row r="17">
          <cell r="C17">
            <v>1750</v>
          </cell>
        </row>
        <row r="18">
          <cell r="C18">
            <v>176422.81</v>
          </cell>
        </row>
        <row r="19">
          <cell r="C19">
            <v>105076.46</v>
          </cell>
        </row>
        <row r="20">
          <cell r="C20">
            <v>0</v>
          </cell>
        </row>
        <row r="21">
          <cell r="C21">
            <v>443149.94</v>
          </cell>
        </row>
        <row r="22">
          <cell r="C22">
            <v>45029.47</v>
          </cell>
        </row>
        <row r="25">
          <cell r="E25">
            <v>44</v>
          </cell>
        </row>
        <row r="27">
          <cell r="E27">
            <v>10</v>
          </cell>
        </row>
      </sheetData>
      <sheetData sheetId="5">
        <row r="8">
          <cell r="C8">
            <v>441152.37</v>
          </cell>
        </row>
        <row r="9">
          <cell r="C9">
            <v>5000</v>
          </cell>
        </row>
        <row r="10">
          <cell r="C10">
            <v>0</v>
          </cell>
        </row>
        <row r="11">
          <cell r="C11">
            <v>95688.11</v>
          </cell>
        </row>
        <row r="12">
          <cell r="C12">
            <v>21174.13</v>
          </cell>
        </row>
        <row r="13">
          <cell r="C13">
            <v>72009.7</v>
          </cell>
        </row>
        <row r="14">
          <cell r="C14">
            <v>40914.38</v>
          </cell>
        </row>
        <row r="15">
          <cell r="C15">
            <v>12922.06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2288.45</v>
          </cell>
        </row>
        <row r="19">
          <cell r="C19">
            <v>5065</v>
          </cell>
        </row>
        <row r="20">
          <cell r="C20">
            <v>0</v>
          </cell>
        </row>
        <row r="21">
          <cell r="C21">
            <v>3737.88</v>
          </cell>
        </row>
        <row r="22">
          <cell r="C22">
            <v>8112.83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6">
        <row r="8">
          <cell r="C8">
            <v>166916.69</v>
          </cell>
        </row>
        <row r="9">
          <cell r="C9">
            <v>16000</v>
          </cell>
        </row>
        <row r="10">
          <cell r="C10">
            <v>0</v>
          </cell>
        </row>
        <row r="11">
          <cell r="C11">
            <v>43743.03</v>
          </cell>
        </row>
        <row r="12">
          <cell r="C12">
            <v>2719.32</v>
          </cell>
        </row>
        <row r="13">
          <cell r="C13">
            <v>9726.85</v>
          </cell>
        </row>
        <row r="14">
          <cell r="C14">
            <v>27236.06</v>
          </cell>
        </row>
        <row r="15">
          <cell r="C15">
            <v>673.12</v>
          </cell>
        </row>
        <row r="16">
          <cell r="C16">
            <v>0</v>
          </cell>
        </row>
        <row r="17">
          <cell r="C17">
            <v>2500</v>
          </cell>
        </row>
        <row r="18">
          <cell r="C18">
            <v>938.06</v>
          </cell>
        </row>
        <row r="19">
          <cell r="C19">
            <v>350</v>
          </cell>
        </row>
        <row r="20">
          <cell r="C20">
            <v>0</v>
          </cell>
        </row>
        <row r="21">
          <cell r="C21">
            <v>492.88</v>
          </cell>
        </row>
        <row r="22">
          <cell r="C22">
            <v>5418.95</v>
          </cell>
        </row>
        <row r="25">
          <cell r="E25">
            <v>2</v>
          </cell>
        </row>
        <row r="27">
          <cell r="E27">
            <v>0</v>
          </cell>
        </row>
      </sheetData>
      <sheetData sheetId="7">
        <row r="8">
          <cell r="C8">
            <v>275174.72</v>
          </cell>
        </row>
        <row r="9">
          <cell r="C9">
            <v>117500</v>
          </cell>
        </row>
        <row r="10">
          <cell r="C10">
            <v>15600</v>
          </cell>
        </row>
        <row r="11">
          <cell r="C11">
            <v>66280.87</v>
          </cell>
        </row>
        <row r="12">
          <cell r="C12">
            <v>16110.68</v>
          </cell>
        </row>
        <row r="13">
          <cell r="C13">
            <v>15051.49</v>
          </cell>
        </row>
        <row r="14">
          <cell r="C14">
            <v>22922.44</v>
          </cell>
        </row>
        <row r="15">
          <cell r="C15">
            <v>3104.77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2767.33</v>
          </cell>
        </row>
        <row r="19">
          <cell r="C19">
            <v>15341.97</v>
          </cell>
        </row>
        <row r="20">
          <cell r="C20">
            <v>0</v>
          </cell>
        </row>
        <row r="21">
          <cell r="C21">
            <v>40294.17</v>
          </cell>
        </row>
        <row r="22">
          <cell r="C22">
            <v>4309.63</v>
          </cell>
        </row>
        <row r="25">
          <cell r="E25">
            <v>5</v>
          </cell>
        </row>
        <row r="27">
          <cell r="E27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Natural Gas"/>
      <sheetName val="Ontario"/>
      <sheetName val="Finance"/>
      <sheetName val="Executive"/>
      <sheetName val="Alberta"/>
    </sheetNames>
    <sheetDataSet>
      <sheetData sheetId="0"/>
      <sheetData sheetId="1">
        <row r="8">
          <cell r="C8">
            <v>1193609.22</v>
          </cell>
        </row>
        <row r="8">
          <cell r="E8">
            <v>1591478.96</v>
          </cell>
        </row>
        <row r="9">
          <cell r="E9">
            <v>0</v>
          </cell>
        </row>
        <row r="11">
          <cell r="C11">
            <v>103223.22</v>
          </cell>
        </row>
        <row r="11">
          <cell r="E11">
            <v>137630.96</v>
          </cell>
        </row>
        <row r="12">
          <cell r="C12">
            <v>22851.15</v>
          </cell>
        </row>
        <row r="12">
          <cell r="E12">
            <v>30468.2</v>
          </cell>
        </row>
        <row r="13">
          <cell r="C13">
            <v>104096.53</v>
          </cell>
        </row>
        <row r="13">
          <cell r="E13">
            <v>138795.373333333</v>
          </cell>
        </row>
        <row r="14">
          <cell r="C14">
            <v>173109.88</v>
          </cell>
        </row>
        <row r="14">
          <cell r="E14">
            <v>230813.173333333</v>
          </cell>
        </row>
        <row r="15">
          <cell r="C15">
            <v>3086.96</v>
          </cell>
        </row>
        <row r="15">
          <cell r="E15">
            <v>4115.94666666667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488.97</v>
          </cell>
        </row>
        <row r="17">
          <cell r="E17">
            <v>651.96</v>
          </cell>
        </row>
        <row r="18">
          <cell r="C18">
            <v>10705.9</v>
          </cell>
        </row>
        <row r="18">
          <cell r="E18">
            <v>14274.5333333333</v>
          </cell>
        </row>
        <row r="19">
          <cell r="C19">
            <v>45596.1</v>
          </cell>
        </row>
        <row r="19">
          <cell r="E19">
            <v>60794.8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1635.29000000004</v>
          </cell>
        </row>
        <row r="21">
          <cell r="E21">
            <v>2180.38666666672</v>
          </cell>
        </row>
        <row r="22">
          <cell r="C22">
            <v>59.44</v>
          </cell>
        </row>
        <row r="22">
          <cell r="E22">
            <v>79.2533333333333</v>
          </cell>
        </row>
        <row r="25">
          <cell r="E25">
            <v>14</v>
          </cell>
        </row>
        <row r="27">
          <cell r="E27">
            <v>11</v>
          </cell>
        </row>
      </sheetData>
      <sheetData sheetId="2">
        <row r="8">
          <cell r="C8">
            <v>577497.65</v>
          </cell>
        </row>
        <row r="8">
          <cell r="E8">
            <v>769996.866666667</v>
          </cell>
        </row>
        <row r="9">
          <cell r="E9">
            <v>0</v>
          </cell>
        </row>
        <row r="11">
          <cell r="C11">
            <v>99488.99</v>
          </cell>
        </row>
        <row r="11">
          <cell r="E11">
            <v>132651.986666667</v>
          </cell>
        </row>
        <row r="12">
          <cell r="C12">
            <v>21575.31</v>
          </cell>
        </row>
        <row r="12">
          <cell r="E12">
            <v>28767.08</v>
          </cell>
        </row>
        <row r="13">
          <cell r="C13">
            <v>69520.99</v>
          </cell>
        </row>
        <row r="13">
          <cell r="E13">
            <v>92694.6533333333</v>
          </cell>
        </row>
        <row r="14">
          <cell r="C14">
            <v>53310.62</v>
          </cell>
        </row>
        <row r="14">
          <cell r="E14">
            <v>71080.8266666667</v>
          </cell>
        </row>
        <row r="15">
          <cell r="C15">
            <v>994.06</v>
          </cell>
        </row>
        <row r="15">
          <cell r="E15">
            <v>1325.41333333333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319.1</v>
          </cell>
        </row>
        <row r="17">
          <cell r="E17">
            <v>425.466666666667</v>
          </cell>
        </row>
        <row r="18">
          <cell r="C18">
            <v>991.32</v>
          </cell>
        </row>
        <row r="18">
          <cell r="E18">
            <v>1321.76</v>
          </cell>
        </row>
        <row r="19">
          <cell r="C19">
            <v>1887.45</v>
          </cell>
        </row>
        <row r="19">
          <cell r="E19">
            <v>2516.6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6275.16</v>
          </cell>
        </row>
        <row r="21">
          <cell r="E21">
            <v>8366.88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3">
        <row r="8">
          <cell r="C8">
            <v>290260.77</v>
          </cell>
        </row>
        <row r="8">
          <cell r="E8">
            <v>387014.36</v>
          </cell>
        </row>
        <row r="9">
          <cell r="E9">
            <v>0</v>
          </cell>
        </row>
        <row r="11">
          <cell r="C11">
            <v>38678.51</v>
          </cell>
        </row>
        <row r="11">
          <cell r="E11">
            <v>51571.3466666667</v>
          </cell>
        </row>
        <row r="12">
          <cell r="C12">
            <v>4768.1</v>
          </cell>
        </row>
        <row r="12">
          <cell r="E12">
            <v>6357.46666666667</v>
          </cell>
        </row>
        <row r="13">
          <cell r="C13">
            <v>39685.3</v>
          </cell>
        </row>
        <row r="13">
          <cell r="E13">
            <v>52913.7333333333</v>
          </cell>
        </row>
        <row r="14">
          <cell r="C14">
            <v>46875.47</v>
          </cell>
        </row>
        <row r="14">
          <cell r="E14">
            <v>62500.6266666667</v>
          </cell>
        </row>
        <row r="15">
          <cell r="C15">
            <v>746.08</v>
          </cell>
        </row>
        <row r="15">
          <cell r="E15">
            <v>994.773333333333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767.34</v>
          </cell>
        </row>
        <row r="17">
          <cell r="E17">
            <v>1023.12</v>
          </cell>
        </row>
        <row r="18">
          <cell r="C18">
            <v>3684.32</v>
          </cell>
        </row>
        <row r="18">
          <cell r="E18">
            <v>4912.42666666667</v>
          </cell>
        </row>
        <row r="19">
          <cell r="C19">
            <v>288.83</v>
          </cell>
        </row>
        <row r="19">
          <cell r="E19">
            <v>385.106666666667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2802.81</v>
          </cell>
        </row>
        <row r="21">
          <cell r="E21">
            <v>3737.08</v>
          </cell>
        </row>
        <row r="22">
          <cell r="C22">
            <v>6047.26000000001</v>
          </cell>
        </row>
        <row r="22">
          <cell r="E22">
            <v>8063.01333333335</v>
          </cell>
        </row>
        <row r="25">
          <cell r="E25">
            <v>2</v>
          </cell>
        </row>
        <row r="27">
          <cell r="E27">
            <v>3</v>
          </cell>
        </row>
      </sheetData>
      <sheetData sheetId="4">
        <row r="8">
          <cell r="C8">
            <v>201176.04</v>
          </cell>
        </row>
        <row r="8">
          <cell r="E8">
            <v>268234.72</v>
          </cell>
        </row>
        <row r="9">
          <cell r="E9">
            <v>0</v>
          </cell>
        </row>
        <row r="10">
          <cell r="C10">
            <v>0</v>
          </cell>
        </row>
        <row r="10">
          <cell r="E10">
            <v>0</v>
          </cell>
        </row>
        <row r="12">
          <cell r="C12">
            <v>3745.83</v>
          </cell>
        </row>
        <row r="12">
          <cell r="E12">
            <v>4994.44</v>
          </cell>
        </row>
        <row r="13">
          <cell r="C13">
            <v>12817.84</v>
          </cell>
        </row>
        <row r="13">
          <cell r="E13">
            <v>17090.4533333333</v>
          </cell>
        </row>
        <row r="14">
          <cell r="C14">
            <v>8483.6</v>
          </cell>
        </row>
        <row r="14">
          <cell r="E14">
            <v>11311.4666666667</v>
          </cell>
        </row>
        <row r="15">
          <cell r="C15">
            <v>795.65</v>
          </cell>
        </row>
        <row r="15">
          <cell r="E15">
            <v>1060.86666666667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308.21</v>
          </cell>
        </row>
        <row r="17">
          <cell r="E17">
            <v>410.946666666667</v>
          </cell>
        </row>
        <row r="18">
          <cell r="C18">
            <v>501.29</v>
          </cell>
        </row>
        <row r="18">
          <cell r="E18">
            <v>668.386666666667</v>
          </cell>
        </row>
        <row r="19">
          <cell r="C19">
            <v>0</v>
          </cell>
        </row>
        <row r="19">
          <cell r="E19">
            <v>0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4553.01</v>
          </cell>
        </row>
        <row r="21">
          <cell r="E21">
            <v>6070.68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5">
        <row r="8">
          <cell r="C8">
            <v>593378.35</v>
          </cell>
        </row>
        <row r="8">
          <cell r="E8">
            <v>791171.133333333</v>
          </cell>
        </row>
        <row r="9">
          <cell r="C9">
            <v>0</v>
          </cell>
        </row>
        <row r="9">
          <cell r="E9">
            <v>0</v>
          </cell>
        </row>
        <row r="11">
          <cell r="C11">
            <v>71291.65</v>
          </cell>
        </row>
        <row r="11">
          <cell r="E11">
            <v>95055.5333333333</v>
          </cell>
        </row>
        <row r="12">
          <cell r="C12">
            <v>14379.74</v>
          </cell>
        </row>
        <row r="12">
          <cell r="E12">
            <v>19172.9866666667</v>
          </cell>
        </row>
        <row r="13">
          <cell r="C13">
            <v>71751.18</v>
          </cell>
        </row>
        <row r="13">
          <cell r="E13">
            <v>95668.24</v>
          </cell>
        </row>
        <row r="14">
          <cell r="C14">
            <v>223960.41</v>
          </cell>
        </row>
        <row r="14">
          <cell r="E14">
            <v>298613.88</v>
          </cell>
        </row>
        <row r="15">
          <cell r="C15">
            <v>804.67</v>
          </cell>
        </row>
        <row r="15">
          <cell r="E15">
            <v>1072.89333333333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0</v>
          </cell>
        </row>
        <row r="17">
          <cell r="E17">
            <v>0</v>
          </cell>
        </row>
        <row r="18">
          <cell r="C18">
            <v>3325.59</v>
          </cell>
        </row>
        <row r="18">
          <cell r="E18">
            <v>4434.12</v>
          </cell>
        </row>
        <row r="19">
          <cell r="C19">
            <v>4572.46</v>
          </cell>
        </row>
        <row r="19">
          <cell r="E19">
            <v>6096.61333333333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4502.90000000001</v>
          </cell>
        </row>
        <row r="21">
          <cell r="E21">
            <v>6003.86666666668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8</v>
          </cell>
        </row>
        <row r="27">
          <cell r="E27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1.xml.rels><?xml version="1.0" encoding="UTF-8"?>
<Relationships xmlns="http://schemas.openxmlformats.org/package/2006/relationships"><Relationship Id="rId1" Type="http://schemas.openxmlformats.org/officeDocument/2006/relationships/comments" Target="../comments41.xml"/><Relationship Id="rId2" Type="http://schemas.openxmlformats.org/officeDocument/2006/relationships/vmlDrawing" Target="../drawings/vmlDrawing1.vml"/>
</Relationships>
</file>

<file path=xl/worksheets/_rels/sheet49.xml.rels><?xml version="1.0" encoding="UTF-8"?>
<Relationships xmlns="http://schemas.openxmlformats.org/package/2006/relationships"><Relationship Id="rId1" Type="http://schemas.openxmlformats.org/officeDocument/2006/relationships/comments" Target="../comments49.xml"/><Relationship Id="rId2" Type="http://schemas.openxmlformats.org/officeDocument/2006/relationships/vmlDrawing" Target="../drawings/vmlDrawing2.vml"/>
</Relationships>
</file>

<file path=xl/worksheets/_rels/sheet50.xml.rels><?xml version="1.0" encoding="UTF-8"?>
<Relationships xmlns="http://schemas.openxmlformats.org/package/2006/relationships"><Relationship Id="rId1" Type="http://schemas.openxmlformats.org/officeDocument/2006/relationships/comments" Target="../comments50.xml"/><Relationship Id="rId2" Type="http://schemas.openxmlformats.org/officeDocument/2006/relationships/vmlDrawing" Target="../drawings/vmlDrawing3.vml"/>
</Relationships>
</file>

<file path=xl/worksheets/_rels/sheet57.xml.rels><?xml version="1.0" encoding="UTF-8"?>
<Relationships xmlns="http://schemas.openxmlformats.org/package/2006/relationships"><Relationship Id="rId1" Type="http://schemas.openxmlformats.org/officeDocument/2006/relationships/comments" Target="../comments57.xml"/><Relationship Id="rId2" Type="http://schemas.openxmlformats.org/officeDocument/2006/relationships/vmlDrawing" Target="../drawings/vmlDrawing4.vml"/>
</Relationships>
</file>

<file path=xl/worksheets/_rels/sheet58.xml.rels><?xml version="1.0" encoding="UTF-8"?>
<Relationships xmlns="http://schemas.openxmlformats.org/package/2006/relationships"><Relationship Id="rId1" Type="http://schemas.openxmlformats.org/officeDocument/2006/relationships/comments" Target="../comments58.xml"/><Relationship Id="rId2" Type="http://schemas.openxmlformats.org/officeDocument/2006/relationships/vmlDrawing" Target="../drawings/vmlDrawing5.vml"/>
</Relationships>
</file>

<file path=xl/worksheets/_rels/sheet59.xml.rels><?xml version="1.0" encoding="UTF-8"?>
<Relationships xmlns="http://schemas.openxmlformats.org/package/2006/relationships"><Relationship Id="rId1" Type="http://schemas.openxmlformats.org/officeDocument/2006/relationships/comments" Target="../comments59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customFormat="false" ht="13.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Format="false" ht="13.5" hidden="false" customHeight="false" outlineLevel="0" collapsed="false">
      <c r="A5" s="3"/>
      <c r="H5" s="4" t="s">
        <v>3</v>
      </c>
      <c r="I5" s="1"/>
      <c r="J5" s="4" t="n">
        <v>2000</v>
      </c>
      <c r="L5" s="4" t="s">
        <v>4</v>
      </c>
      <c r="N5" s="4" t="n">
        <v>2001</v>
      </c>
      <c r="P5" s="4" t="s">
        <v>5</v>
      </c>
      <c r="T5" s="4" t="s">
        <v>5</v>
      </c>
    </row>
    <row r="6" customFormat="false" ht="13.5" hidden="false" customHeight="false" outlineLevel="0" collapsed="false">
      <c r="E6" s="4" t="s">
        <v>6</v>
      </c>
      <c r="G6" s="5" t="s">
        <v>7</v>
      </c>
      <c r="H6" s="6" t="s">
        <v>8</v>
      </c>
      <c r="I6" s="1"/>
      <c r="J6" s="6" t="s">
        <v>9</v>
      </c>
      <c r="K6" s="1"/>
      <c r="L6" s="6" t="s">
        <v>8</v>
      </c>
      <c r="M6" s="7"/>
      <c r="N6" s="6" t="s">
        <v>9</v>
      </c>
      <c r="O6" s="7"/>
      <c r="P6" s="6" t="s">
        <v>8</v>
      </c>
      <c r="R6" s="4" t="s">
        <v>10</v>
      </c>
      <c r="T6" s="6" t="s">
        <v>9</v>
      </c>
    </row>
    <row r="7" customFormat="false" ht="12.75" hidden="false" customHeight="false" outlineLevel="0" collapsed="false">
      <c r="E7" s="8"/>
      <c r="G7" s="8"/>
      <c r="H7" s="9"/>
      <c r="I7" s="10"/>
      <c r="J7" s="9"/>
      <c r="K7" s="10"/>
      <c r="L7" s="9"/>
      <c r="M7" s="7"/>
      <c r="N7" s="9"/>
      <c r="O7" s="7"/>
      <c r="P7" s="9"/>
      <c r="R7" s="8"/>
      <c r="T7" s="9"/>
    </row>
    <row r="8" customFormat="false" ht="12.75" hidden="false" customHeight="false" outlineLevel="0" collapsed="false">
      <c r="E8" s="9"/>
      <c r="G8" s="9"/>
      <c r="H8" s="9"/>
      <c r="I8" s="10"/>
      <c r="J8" s="9"/>
      <c r="K8" s="10"/>
      <c r="L8" s="9"/>
      <c r="M8" s="7"/>
      <c r="N8" s="9"/>
      <c r="O8" s="7"/>
      <c r="P8" s="9"/>
      <c r="R8" s="9"/>
      <c r="T8" s="9"/>
    </row>
    <row r="9" customFormat="false" ht="12.75" hidden="false" customHeight="false" outlineLevel="0" collapsed="false">
      <c r="B9" s="0" t="s">
        <v>11</v>
      </c>
      <c r="E9" s="11" t="n">
        <v>0</v>
      </c>
      <c r="F9" s="12"/>
      <c r="G9" s="11" t="n">
        <v>0</v>
      </c>
      <c r="H9" s="11" t="n">
        <f aca="false">67.7-0.7+4.6</f>
        <v>71.6</v>
      </c>
      <c r="I9" s="12"/>
      <c r="J9" s="13" t="n">
        <f aca="false">151+12</f>
        <v>163</v>
      </c>
      <c r="K9" s="12"/>
      <c r="L9" s="11" t="n">
        <f aca="false">29.1+5+4.1</f>
        <v>38.2</v>
      </c>
      <c r="M9" s="12" t="s">
        <v>12</v>
      </c>
      <c r="N9" s="14" t="n">
        <f aca="false">164-37+16</f>
        <v>143</v>
      </c>
      <c r="O9" s="12"/>
      <c r="P9" s="11" t="n">
        <v>0.8</v>
      </c>
      <c r="Q9" s="12"/>
      <c r="R9" s="11" t="n">
        <f aca="false">G9-P9</f>
        <v>-0.8</v>
      </c>
      <c r="T9" s="14" t="n">
        <v>3</v>
      </c>
    </row>
    <row r="10" customFormat="false" ht="7.5" hidden="false" customHeight="true" outlineLevel="0" collapsed="false">
      <c r="E10" s="11"/>
      <c r="F10" s="12"/>
      <c r="G10" s="11"/>
      <c r="H10" s="11"/>
      <c r="I10" s="12"/>
      <c r="J10" s="13"/>
      <c r="K10" s="12"/>
      <c r="L10" s="11"/>
      <c r="M10" s="12"/>
      <c r="N10" s="14"/>
      <c r="O10" s="12"/>
      <c r="P10" s="11"/>
      <c r="Q10" s="12"/>
      <c r="R10" s="11"/>
      <c r="T10" s="14"/>
    </row>
    <row r="11" customFormat="false" ht="12.75" hidden="false" customHeight="true" outlineLevel="0" collapsed="false">
      <c r="B11" s="0" t="s">
        <v>13</v>
      </c>
      <c r="E11" s="11" t="n">
        <v>0</v>
      </c>
      <c r="F11" s="12"/>
      <c r="G11" s="11" t="n">
        <v>0</v>
      </c>
      <c r="H11" s="11"/>
      <c r="I11" s="12"/>
      <c r="J11" s="13"/>
      <c r="K11" s="12"/>
      <c r="L11" s="11"/>
      <c r="M11" s="12"/>
      <c r="N11" s="14"/>
      <c r="O11" s="12"/>
      <c r="P11" s="11" t="n">
        <v>5</v>
      </c>
      <c r="Q11" s="12"/>
      <c r="R11" s="11" t="n">
        <f aca="false">G11-P11</f>
        <v>-5</v>
      </c>
      <c r="T11" s="14" t="n">
        <v>7</v>
      </c>
    </row>
    <row r="12" customFormat="false" ht="7.5" hidden="false" customHeight="true" outlineLevel="0" collapsed="false">
      <c r="E12" s="11"/>
      <c r="F12" s="12"/>
      <c r="G12" s="11"/>
      <c r="H12" s="11"/>
      <c r="I12" s="12"/>
      <c r="J12" s="13"/>
      <c r="K12" s="12"/>
      <c r="L12" s="11"/>
      <c r="M12" s="12"/>
      <c r="N12" s="14"/>
      <c r="O12" s="12"/>
      <c r="P12" s="11"/>
      <c r="Q12" s="12"/>
      <c r="R12" s="11"/>
      <c r="T12" s="14"/>
    </row>
    <row r="13" customFormat="false" ht="12.75" hidden="false" customHeight="true" outlineLevel="0" collapsed="false">
      <c r="B13" s="0" t="s">
        <v>14</v>
      </c>
      <c r="E13" s="11" t="n">
        <v>0</v>
      </c>
      <c r="F13" s="12"/>
      <c r="G13" s="11" t="n">
        <v>0</v>
      </c>
      <c r="H13" s="11"/>
      <c r="I13" s="12"/>
      <c r="J13" s="13"/>
      <c r="K13" s="12"/>
      <c r="L13" s="11"/>
      <c r="M13" s="12"/>
      <c r="N13" s="14"/>
      <c r="O13" s="12"/>
      <c r="P13" s="11" t="n">
        <v>1.4</v>
      </c>
      <c r="Q13" s="12"/>
      <c r="R13" s="11" t="n">
        <f aca="false">G13-P13</f>
        <v>-1.4</v>
      </c>
      <c r="T13" s="14" t="n">
        <v>7</v>
      </c>
    </row>
    <row r="14" customFormat="false" ht="7.5" hidden="false" customHeight="true" outlineLevel="0" collapsed="false">
      <c r="E14" s="11"/>
      <c r="F14" s="12"/>
      <c r="G14" s="11"/>
      <c r="H14" s="11"/>
      <c r="I14" s="12"/>
      <c r="J14" s="13"/>
      <c r="K14" s="12"/>
      <c r="L14" s="11"/>
      <c r="M14" s="12"/>
      <c r="N14" s="14"/>
      <c r="O14" s="12"/>
      <c r="P14" s="11"/>
      <c r="Q14" s="12"/>
      <c r="R14" s="11"/>
      <c r="T14" s="14"/>
    </row>
    <row r="15" customFormat="false" ht="12.75" hidden="false" customHeight="true" outlineLevel="0" collapsed="false">
      <c r="B15" s="0" t="s">
        <v>15</v>
      </c>
      <c r="E15" s="11" t="n">
        <v>0</v>
      </c>
      <c r="F15" s="12"/>
      <c r="G15" s="11" t="n">
        <v>0</v>
      </c>
      <c r="H15" s="11"/>
      <c r="I15" s="12"/>
      <c r="J15" s="13"/>
      <c r="K15" s="12"/>
      <c r="L15" s="11"/>
      <c r="M15" s="12"/>
      <c r="N15" s="14"/>
      <c r="O15" s="12"/>
      <c r="P15" s="11" t="n">
        <v>1</v>
      </c>
      <c r="Q15" s="12"/>
      <c r="R15" s="11" t="n">
        <f aca="false">G15-P15</f>
        <v>-1</v>
      </c>
      <c r="T15" s="14" t="n">
        <v>4</v>
      </c>
    </row>
    <row r="16" customFormat="false" ht="7.5" hidden="false" customHeight="true" outlineLevel="0" collapsed="false">
      <c r="E16" s="11"/>
      <c r="F16" s="12"/>
      <c r="G16" s="11"/>
      <c r="H16" s="11"/>
      <c r="I16" s="12"/>
      <c r="J16" s="13"/>
      <c r="K16" s="12"/>
      <c r="L16" s="11"/>
      <c r="M16" s="12"/>
      <c r="N16" s="14"/>
      <c r="O16" s="12"/>
      <c r="P16" s="11"/>
      <c r="Q16" s="12"/>
      <c r="R16" s="11"/>
      <c r="T16" s="14"/>
    </row>
    <row r="17" customFormat="false" ht="12.75" hidden="false" customHeight="true" outlineLevel="0" collapsed="false">
      <c r="B17" s="0" t="s">
        <v>16</v>
      </c>
      <c r="E17" s="11" t="n">
        <v>0</v>
      </c>
      <c r="F17" s="12"/>
      <c r="G17" s="11" t="n">
        <v>0</v>
      </c>
      <c r="H17" s="11"/>
      <c r="I17" s="12"/>
      <c r="J17" s="13"/>
      <c r="K17" s="12"/>
      <c r="L17" s="11"/>
      <c r="M17" s="12"/>
      <c r="N17" s="14"/>
      <c r="O17" s="12"/>
      <c r="P17" s="11" t="n">
        <v>1.3</v>
      </c>
      <c r="Q17" s="12"/>
      <c r="R17" s="11" t="n">
        <f aca="false">G17-P17</f>
        <v>-1.3</v>
      </c>
      <c r="T17" s="14" t="n">
        <v>6</v>
      </c>
    </row>
    <row r="18" customFormat="false" ht="7.5" hidden="false" customHeight="true" outlineLevel="0" collapsed="false">
      <c r="E18" s="11"/>
      <c r="F18" s="12"/>
      <c r="G18" s="11"/>
      <c r="H18" s="11"/>
      <c r="I18" s="12"/>
      <c r="J18" s="13"/>
      <c r="K18" s="12"/>
      <c r="L18" s="11"/>
      <c r="M18" s="12"/>
      <c r="N18" s="14"/>
      <c r="O18" s="12"/>
      <c r="P18" s="11"/>
      <c r="Q18" s="12"/>
      <c r="R18" s="11"/>
      <c r="T18" s="14"/>
    </row>
    <row r="19" customFormat="false" ht="12.75" hidden="false" customHeight="true" outlineLevel="0" collapsed="false">
      <c r="B19" s="0" t="s">
        <v>17</v>
      </c>
      <c r="E19" s="11" t="n">
        <v>0</v>
      </c>
      <c r="F19" s="12"/>
      <c r="G19" s="11" t="n">
        <v>0</v>
      </c>
      <c r="H19" s="11"/>
      <c r="I19" s="12"/>
      <c r="J19" s="13"/>
      <c r="K19" s="12"/>
      <c r="L19" s="11"/>
      <c r="M19" s="12"/>
      <c r="N19" s="14"/>
      <c r="O19" s="12"/>
      <c r="P19" s="11" t="n">
        <v>1.3</v>
      </c>
      <c r="Q19" s="12"/>
      <c r="R19" s="11" t="n">
        <f aca="false">G19-P19</f>
        <v>-1.3</v>
      </c>
      <c r="T19" s="14" t="n">
        <v>4</v>
      </c>
    </row>
    <row r="20" customFormat="false" ht="7.5" hidden="false" customHeight="true" outlineLevel="0" collapsed="false">
      <c r="E20" s="11"/>
      <c r="F20" s="12"/>
      <c r="G20" s="11"/>
      <c r="H20" s="11"/>
      <c r="I20" s="12"/>
      <c r="J20" s="13"/>
      <c r="K20" s="12"/>
      <c r="L20" s="11"/>
      <c r="M20" s="12"/>
      <c r="N20" s="14"/>
      <c r="O20" s="12"/>
      <c r="P20" s="11"/>
      <c r="Q20" s="12"/>
      <c r="R20" s="11"/>
      <c r="T20" s="14"/>
    </row>
    <row r="21" customFormat="false" ht="12.75" hidden="false" customHeight="false" outlineLevel="0" collapsed="false">
      <c r="B21" s="0" t="s">
        <v>18</v>
      </c>
      <c r="E21" s="11" t="n">
        <v>0</v>
      </c>
      <c r="F21" s="12"/>
      <c r="G21" s="11" t="n">
        <v>0</v>
      </c>
      <c r="H21" s="11"/>
      <c r="I21" s="12"/>
      <c r="J21" s="13"/>
      <c r="K21" s="12"/>
      <c r="L21" s="11" t="s">
        <v>12</v>
      </c>
      <c r="M21" s="12"/>
      <c r="N21" s="14"/>
      <c r="O21" s="12"/>
      <c r="P21" s="11" t="n">
        <v>0.99</v>
      </c>
      <c r="Q21" s="12"/>
      <c r="R21" s="11" t="n">
        <f aca="false">G21-P21</f>
        <v>-0.99</v>
      </c>
      <c r="T21" s="14" t="n">
        <v>4</v>
      </c>
    </row>
    <row r="22" customFormat="false" ht="6.75" hidden="false" customHeight="true" outlineLevel="0" collapsed="false">
      <c r="E22" s="11"/>
      <c r="F22" s="12"/>
      <c r="G22" s="11"/>
      <c r="H22" s="11"/>
      <c r="I22" s="12"/>
      <c r="J22" s="15"/>
      <c r="K22" s="12"/>
      <c r="L22" s="11"/>
      <c r="M22" s="12"/>
      <c r="N22" s="14"/>
      <c r="O22" s="12"/>
      <c r="P22" s="11"/>
      <c r="Q22" s="12"/>
      <c r="R22" s="11"/>
      <c r="T22" s="14"/>
    </row>
    <row r="23" customFormat="false" ht="12.75" hidden="false" customHeight="false" outlineLevel="0" collapsed="false">
      <c r="B23" s="0" t="s">
        <v>19</v>
      </c>
      <c r="E23" s="11" t="n">
        <v>0</v>
      </c>
      <c r="F23" s="12"/>
      <c r="G23" s="11" t="n">
        <v>0</v>
      </c>
      <c r="H23" s="11"/>
      <c r="I23" s="12"/>
      <c r="J23" s="13"/>
      <c r="K23" s="12"/>
      <c r="L23" s="11"/>
      <c r="M23" s="12"/>
      <c r="N23" s="14"/>
      <c r="O23" s="12"/>
      <c r="P23" s="11" t="n">
        <v>1.7</v>
      </c>
      <c r="Q23" s="12"/>
      <c r="R23" s="11" t="n">
        <f aca="false">G23-P23</f>
        <v>-1.7</v>
      </c>
      <c r="T23" s="14" t="n">
        <v>7</v>
      </c>
    </row>
    <row r="24" customFormat="false" ht="6.75" hidden="false" customHeight="true" outlineLevel="0" collapsed="false">
      <c r="E24" s="11"/>
      <c r="F24" s="12"/>
      <c r="G24" s="11"/>
      <c r="H24" s="11"/>
      <c r="I24" s="12"/>
      <c r="J24" s="15"/>
      <c r="K24" s="12"/>
      <c r="L24" s="11"/>
      <c r="M24" s="12"/>
      <c r="N24" s="14"/>
      <c r="O24" s="12"/>
      <c r="P24" s="11"/>
      <c r="Q24" s="12"/>
      <c r="R24" s="11"/>
      <c r="T24" s="14"/>
    </row>
    <row r="25" customFormat="false" ht="12.75" hidden="false" customHeight="false" outlineLevel="0" collapsed="false">
      <c r="B25" s="0" t="s">
        <v>20</v>
      </c>
      <c r="E25" s="11" t="n">
        <v>0</v>
      </c>
      <c r="F25" s="12"/>
      <c r="G25" s="11" t="n">
        <v>0</v>
      </c>
      <c r="H25" s="11"/>
      <c r="I25" s="12"/>
      <c r="J25" s="13"/>
      <c r="K25" s="12"/>
      <c r="L25" s="11"/>
      <c r="M25" s="12"/>
      <c r="N25" s="14"/>
      <c r="O25" s="12"/>
      <c r="P25" s="11" t="n">
        <v>1.6</v>
      </c>
      <c r="Q25" s="12"/>
      <c r="R25" s="11" t="n">
        <f aca="false">G25-P25</f>
        <v>-1.6</v>
      </c>
      <c r="T25" s="14" t="n">
        <v>7</v>
      </c>
    </row>
    <row r="26" customFormat="false" ht="6.75" hidden="false" customHeight="true" outlineLevel="0" collapsed="false">
      <c r="E26" s="11"/>
      <c r="F26" s="12"/>
      <c r="G26" s="11"/>
      <c r="H26" s="11"/>
      <c r="I26" s="12"/>
      <c r="J26" s="15"/>
      <c r="K26" s="12"/>
      <c r="L26" s="11"/>
      <c r="M26" s="12"/>
      <c r="N26" s="14"/>
      <c r="O26" s="12"/>
      <c r="P26" s="11"/>
      <c r="Q26" s="12"/>
      <c r="R26" s="11"/>
      <c r="T26" s="14"/>
    </row>
    <row r="27" customFormat="false" ht="12.75" hidden="false" customHeight="false" outlineLevel="0" collapsed="false">
      <c r="B27" s="0" t="s">
        <v>21</v>
      </c>
      <c r="E27" s="11" t="n">
        <v>0</v>
      </c>
      <c r="F27" s="12"/>
      <c r="G27" s="11" t="n">
        <v>0</v>
      </c>
      <c r="H27" s="11"/>
      <c r="I27" s="12"/>
      <c r="J27" s="13"/>
      <c r="K27" s="12"/>
      <c r="L27" s="11"/>
      <c r="M27" s="12"/>
      <c r="N27" s="14"/>
      <c r="O27" s="12"/>
      <c r="P27" s="11" t="n">
        <v>2</v>
      </c>
      <c r="Q27" s="12"/>
      <c r="R27" s="11" t="n">
        <f aca="false">G27-P27</f>
        <v>-2</v>
      </c>
      <c r="T27" s="14" t="n">
        <v>9</v>
      </c>
    </row>
    <row r="28" customFormat="false" ht="6.75" hidden="false" customHeight="true" outlineLevel="0" collapsed="false">
      <c r="E28" s="11"/>
      <c r="F28" s="12"/>
      <c r="G28" s="11"/>
      <c r="H28" s="11"/>
      <c r="I28" s="12"/>
      <c r="J28" s="15"/>
      <c r="K28" s="12"/>
      <c r="L28" s="11"/>
      <c r="M28" s="12"/>
      <c r="N28" s="14"/>
      <c r="O28" s="12"/>
      <c r="P28" s="11"/>
      <c r="Q28" s="12"/>
      <c r="R28" s="11"/>
      <c r="T28" s="14"/>
    </row>
    <row r="29" customFormat="false" ht="12.75" hidden="false" customHeight="false" outlineLevel="0" collapsed="false">
      <c r="B29" s="0" t="s">
        <v>22</v>
      </c>
      <c r="E29" s="11" t="n">
        <v>0</v>
      </c>
      <c r="F29" s="12"/>
      <c r="G29" s="11" t="n">
        <v>0</v>
      </c>
      <c r="H29" s="11"/>
      <c r="I29" s="12"/>
      <c r="J29" s="13"/>
      <c r="K29" s="12"/>
      <c r="L29" s="11"/>
      <c r="M29" s="12"/>
      <c r="N29" s="14"/>
      <c r="O29" s="12"/>
      <c r="P29" s="11" t="n">
        <v>0.4</v>
      </c>
      <c r="Q29" s="12"/>
      <c r="R29" s="11" t="n">
        <f aca="false">G29-P29</f>
        <v>-0.4</v>
      </c>
      <c r="T29" s="14" t="n">
        <v>2</v>
      </c>
    </row>
    <row r="30" customFormat="false" ht="5.25" hidden="false" customHeight="true" outlineLevel="0" collapsed="false">
      <c r="E30" s="11"/>
      <c r="F30" s="12"/>
      <c r="G30" s="11"/>
      <c r="H30" s="11"/>
      <c r="I30" s="12"/>
      <c r="J30" s="13"/>
      <c r="K30" s="12"/>
      <c r="L30" s="11"/>
      <c r="M30" s="12"/>
      <c r="N30" s="14"/>
      <c r="O30" s="12"/>
      <c r="P30" s="11"/>
      <c r="Q30" s="12"/>
      <c r="R30" s="11"/>
      <c r="T30" s="14"/>
    </row>
    <row r="31" customFormat="false" ht="12.75" hidden="false" customHeight="false" outlineLevel="0" collapsed="false">
      <c r="B31" s="0" t="s">
        <v>23</v>
      </c>
      <c r="E31" s="11" t="n">
        <v>0</v>
      </c>
      <c r="F31" s="12"/>
      <c r="G31" s="11"/>
      <c r="H31" s="11"/>
      <c r="I31" s="12"/>
      <c r="J31" s="13"/>
      <c r="K31" s="12"/>
      <c r="L31" s="11"/>
      <c r="M31" s="12"/>
      <c r="N31" s="14"/>
      <c r="O31" s="12"/>
      <c r="P31" s="11" t="n">
        <v>0.5</v>
      </c>
      <c r="Q31" s="12"/>
      <c r="R31" s="11" t="n">
        <f aca="false">G31-P31</f>
        <v>-0.5</v>
      </c>
      <c r="T31" s="14" t="n">
        <v>3</v>
      </c>
    </row>
    <row r="32" customFormat="false" ht="6.75" hidden="false" customHeight="true" outlineLevel="0" collapsed="false">
      <c r="E32" s="11"/>
      <c r="F32" s="12"/>
      <c r="G32" s="11"/>
      <c r="H32" s="11"/>
      <c r="I32" s="12"/>
      <c r="J32" s="13"/>
      <c r="K32" s="12"/>
      <c r="L32" s="11"/>
      <c r="M32" s="12"/>
      <c r="N32" s="14"/>
      <c r="O32" s="12"/>
      <c r="P32" s="11"/>
      <c r="Q32" s="12"/>
      <c r="R32" s="11"/>
      <c r="T32" s="14"/>
    </row>
    <row r="33" customFormat="false" ht="12.75" hidden="false" customHeight="false" outlineLevel="0" collapsed="false">
      <c r="B33" s="16" t="s">
        <v>24</v>
      </c>
      <c r="C33" s="16"/>
      <c r="D33" s="16"/>
      <c r="E33" s="17" t="n">
        <v>0</v>
      </c>
      <c r="F33" s="18"/>
      <c r="G33" s="17" t="n">
        <v>425</v>
      </c>
      <c r="H33" s="17"/>
      <c r="I33" s="18"/>
      <c r="J33" s="19"/>
      <c r="K33" s="18"/>
      <c r="L33" s="17"/>
      <c r="M33" s="18"/>
      <c r="N33" s="20"/>
      <c r="O33" s="18"/>
      <c r="P33" s="17" t="n">
        <f aca="false">SUM(P9:P31)</f>
        <v>17.99</v>
      </c>
      <c r="Q33" s="18"/>
      <c r="R33" s="17" t="n">
        <f aca="false">SUM(R9:R31)</f>
        <v>-17.99</v>
      </c>
      <c r="S33" s="16"/>
      <c r="T33" s="20" t="n">
        <f aca="false">SUM(T9:T31)</f>
        <v>63</v>
      </c>
    </row>
    <row r="34" customFormat="false" ht="6.75" hidden="false" customHeight="true" outlineLevel="0" collapsed="false">
      <c r="E34" s="11"/>
      <c r="F34" s="12"/>
      <c r="G34" s="11"/>
      <c r="H34" s="11"/>
      <c r="I34" s="12"/>
      <c r="J34" s="15"/>
      <c r="K34" s="12"/>
      <c r="L34" s="11"/>
      <c r="M34" s="12"/>
      <c r="N34" s="14"/>
      <c r="O34" s="12"/>
      <c r="P34" s="11"/>
      <c r="Q34" s="12"/>
      <c r="R34" s="11"/>
      <c r="T34" s="14"/>
    </row>
    <row r="35" customFormat="false" ht="12.75" hidden="false" customHeight="false" outlineLevel="0" collapsed="false">
      <c r="B35" s="0" t="s">
        <v>25</v>
      </c>
      <c r="E35" s="11" t="n">
        <v>0</v>
      </c>
      <c r="F35" s="12"/>
      <c r="G35" s="11" t="n">
        <v>250</v>
      </c>
      <c r="H35" s="11" t="n">
        <v>29.9</v>
      </c>
      <c r="I35" s="12"/>
      <c r="J35" s="13" t="n">
        <v>147</v>
      </c>
      <c r="K35" s="12"/>
      <c r="L35" s="11" t="n">
        <f aca="false">32.8+6.4+0.5</f>
        <v>39.7</v>
      </c>
      <c r="M35" s="12"/>
      <c r="N35" s="14" t="n">
        <f aca="false">216-29</f>
        <v>187</v>
      </c>
      <c r="O35" s="12"/>
      <c r="P35" s="11" t="n">
        <v>6.2</v>
      </c>
      <c r="Q35" s="12"/>
      <c r="R35" s="11" t="n">
        <f aca="false">G35-P35</f>
        <v>243.8</v>
      </c>
      <c r="T35" s="14" t="n">
        <v>32</v>
      </c>
    </row>
    <row r="36" customFormat="false" ht="7.5" hidden="false" customHeight="true" outlineLevel="0" collapsed="false">
      <c r="E36" s="11"/>
      <c r="F36" s="12"/>
      <c r="G36" s="11"/>
      <c r="H36" s="11"/>
      <c r="I36" s="12"/>
      <c r="J36" s="13"/>
      <c r="K36" s="12"/>
      <c r="L36" s="11"/>
      <c r="M36" s="12"/>
      <c r="N36" s="14"/>
      <c r="O36" s="12"/>
      <c r="P36" s="11"/>
      <c r="Q36" s="12"/>
      <c r="R36" s="11"/>
      <c r="T36" s="14"/>
    </row>
    <row r="37" customFormat="false" ht="12.75" hidden="false" customHeight="false" outlineLevel="0" collapsed="false">
      <c r="B37" s="0" t="s">
        <v>26</v>
      </c>
      <c r="E37" s="11" t="n">
        <v>0</v>
      </c>
      <c r="F37" s="12"/>
      <c r="G37" s="11" t="n">
        <v>0</v>
      </c>
      <c r="H37" s="11"/>
      <c r="I37" s="12"/>
      <c r="J37" s="15"/>
      <c r="K37" s="12"/>
      <c r="L37" s="11"/>
      <c r="M37" s="12"/>
      <c r="N37" s="14"/>
      <c r="O37" s="12"/>
      <c r="P37" s="11" t="n">
        <v>3.4</v>
      </c>
      <c r="Q37" s="12"/>
      <c r="R37" s="11" t="n">
        <f aca="false">G37-P37</f>
        <v>-3.4</v>
      </c>
      <c r="T37" s="14" t="n">
        <v>14</v>
      </c>
    </row>
    <row r="38" customFormat="false" ht="7.5" hidden="false" customHeight="true" outlineLevel="0" collapsed="false">
      <c r="E38" s="11"/>
      <c r="F38" s="12"/>
      <c r="G38" s="11"/>
      <c r="H38" s="11"/>
      <c r="I38" s="12"/>
      <c r="J38" s="15"/>
      <c r="K38" s="12"/>
      <c r="L38" s="11"/>
      <c r="M38" s="12"/>
      <c r="N38" s="14"/>
      <c r="O38" s="12"/>
      <c r="P38" s="11"/>
      <c r="Q38" s="12"/>
      <c r="R38" s="11"/>
      <c r="T38" s="14"/>
    </row>
    <row r="39" customFormat="false" ht="12.75" hidden="false" customHeight="false" outlineLevel="0" collapsed="false">
      <c r="B39" s="0" t="s">
        <v>27</v>
      </c>
      <c r="E39" s="11" t="n">
        <v>0</v>
      </c>
      <c r="F39" s="12"/>
      <c r="G39" s="11" t="n">
        <v>150</v>
      </c>
      <c r="H39" s="11" t="n">
        <v>18.1</v>
      </c>
      <c r="I39" s="12"/>
      <c r="J39" s="13" t="n">
        <v>67</v>
      </c>
      <c r="K39" s="12"/>
      <c r="L39" s="11" t="n">
        <f aca="false">27.3+6.5</f>
        <v>33.8</v>
      </c>
      <c r="M39" s="12"/>
      <c r="N39" s="14" t="n">
        <f aca="false">106-10</f>
        <v>96</v>
      </c>
      <c r="O39" s="12"/>
      <c r="P39" s="11" t="n">
        <v>3.5</v>
      </c>
      <c r="Q39" s="12"/>
      <c r="R39" s="11" t="n">
        <f aca="false">G39-P39</f>
        <v>146.5</v>
      </c>
      <c r="T39" s="14" t="n">
        <v>16</v>
      </c>
    </row>
    <row r="40" customFormat="false" ht="7.5" hidden="false" customHeight="true" outlineLevel="0" collapsed="false">
      <c r="E40" s="11"/>
      <c r="F40" s="12"/>
      <c r="G40" s="11"/>
      <c r="H40" s="11"/>
      <c r="I40" s="12"/>
      <c r="J40" s="13"/>
      <c r="K40" s="12"/>
      <c r="L40" s="11"/>
      <c r="M40" s="12"/>
      <c r="N40" s="14"/>
      <c r="O40" s="12"/>
      <c r="P40" s="11"/>
      <c r="Q40" s="12"/>
      <c r="R40" s="11"/>
      <c r="T40" s="14"/>
    </row>
    <row r="41" customFormat="false" ht="12.75" hidden="false" customHeight="false" outlineLevel="0" collapsed="false">
      <c r="B41" s="0" t="s">
        <v>28</v>
      </c>
      <c r="E41" s="11" t="n">
        <v>0</v>
      </c>
      <c r="F41" s="12"/>
      <c r="G41" s="11" t="n">
        <v>0</v>
      </c>
      <c r="H41" s="11"/>
      <c r="I41" s="12"/>
      <c r="J41" s="15"/>
      <c r="K41" s="12"/>
      <c r="L41" s="11"/>
      <c r="M41" s="12"/>
      <c r="N41" s="14"/>
      <c r="O41" s="12"/>
      <c r="P41" s="11" t="n">
        <v>3.3</v>
      </c>
      <c r="Q41" s="12"/>
      <c r="R41" s="11" t="n">
        <f aca="false">G41-P41</f>
        <v>-3.3</v>
      </c>
      <c r="T41" s="14" t="n">
        <v>12</v>
      </c>
    </row>
    <row r="42" customFormat="false" ht="7.5" hidden="false" customHeight="true" outlineLevel="0" collapsed="false">
      <c r="E42" s="11"/>
      <c r="F42" s="12"/>
      <c r="G42" s="11"/>
      <c r="H42" s="11"/>
      <c r="I42" s="12"/>
      <c r="J42" s="15"/>
      <c r="K42" s="12"/>
      <c r="L42" s="11"/>
      <c r="M42" s="12"/>
      <c r="N42" s="14"/>
      <c r="O42" s="12"/>
      <c r="P42" s="11"/>
      <c r="Q42" s="12"/>
      <c r="R42" s="11"/>
      <c r="T42" s="14"/>
    </row>
    <row r="43" customFormat="false" ht="12.75" hidden="false" customHeight="false" outlineLevel="0" collapsed="false">
      <c r="B43" s="0" t="s">
        <v>29</v>
      </c>
      <c r="E43" s="11" t="n">
        <v>0</v>
      </c>
      <c r="F43" s="12"/>
      <c r="G43" s="11" t="n">
        <v>50</v>
      </c>
      <c r="H43" s="11" t="n">
        <v>8</v>
      </c>
      <c r="I43" s="12"/>
      <c r="J43" s="13" t="n">
        <v>47</v>
      </c>
      <c r="K43" s="12"/>
      <c r="L43" s="11" t="n">
        <v>9</v>
      </c>
      <c r="M43" s="12"/>
      <c r="N43" s="14" t="n">
        <v>49</v>
      </c>
      <c r="O43" s="12"/>
      <c r="P43" s="11" t="n">
        <v>1.5</v>
      </c>
      <c r="Q43" s="12"/>
      <c r="R43" s="11" t="n">
        <f aca="false">G43-P43</f>
        <v>48.5</v>
      </c>
      <c r="T43" s="14" t="n">
        <v>7</v>
      </c>
      <c r="V43" s="21"/>
    </row>
    <row r="44" customFormat="false" ht="12.75" hidden="true" customHeight="false" outlineLevel="0" collapsed="false">
      <c r="B44" s="0" t="s">
        <v>30</v>
      </c>
      <c r="E44" s="11"/>
      <c r="F44" s="12"/>
      <c r="G44" s="11"/>
      <c r="H44" s="11"/>
      <c r="I44" s="12"/>
      <c r="J44" s="15"/>
      <c r="K44" s="12"/>
      <c r="L44" s="11"/>
      <c r="M44" s="12"/>
      <c r="N44" s="14"/>
      <c r="O44" s="12"/>
      <c r="P44" s="11"/>
      <c r="Q44" s="12"/>
      <c r="R44" s="11"/>
      <c r="T44" s="14"/>
      <c r="V44" s="21"/>
    </row>
    <row r="45" customFormat="false" ht="12.75" hidden="true" customHeight="false" outlineLevel="0" collapsed="false">
      <c r="B45" s="0" t="s">
        <v>30</v>
      </c>
      <c r="E45" s="11"/>
      <c r="F45" s="12"/>
      <c r="G45" s="11" t="n">
        <v>0</v>
      </c>
      <c r="H45" s="11" t="n">
        <v>0</v>
      </c>
      <c r="I45" s="12"/>
      <c r="J45" s="13" t="n">
        <v>0</v>
      </c>
      <c r="K45" s="12"/>
      <c r="L45" s="11" t="n">
        <v>0</v>
      </c>
      <c r="M45" s="12"/>
      <c r="N45" s="14" t="n">
        <v>0</v>
      </c>
      <c r="O45" s="12"/>
      <c r="P45" s="11" t="n">
        <v>0</v>
      </c>
      <c r="Q45" s="12"/>
      <c r="R45" s="11" t="n">
        <f aca="false">G45-P45</f>
        <v>0</v>
      </c>
      <c r="T45" s="14" t="n">
        <v>0</v>
      </c>
      <c r="V45" s="21"/>
    </row>
    <row r="46" customFormat="false" ht="7.5" hidden="false" customHeight="true" outlineLevel="0" collapsed="false">
      <c r="E46" s="11"/>
      <c r="F46" s="12"/>
      <c r="G46" s="11"/>
      <c r="H46" s="11"/>
      <c r="I46" s="12"/>
      <c r="J46" s="13"/>
      <c r="K46" s="12"/>
      <c r="L46" s="11"/>
      <c r="M46" s="12"/>
      <c r="N46" s="14"/>
      <c r="O46" s="12"/>
      <c r="P46" s="11"/>
      <c r="Q46" s="12"/>
      <c r="R46" s="11"/>
      <c r="T46" s="14"/>
      <c r="V46" s="21"/>
    </row>
    <row r="47" customFormat="false" ht="12.75" hidden="false" customHeight="false" outlineLevel="0" collapsed="false">
      <c r="B47" s="0" t="s">
        <v>31</v>
      </c>
      <c r="E47" s="11" t="n">
        <v>0</v>
      </c>
      <c r="F47" s="12"/>
      <c r="G47" s="11" t="n">
        <v>0</v>
      </c>
      <c r="H47" s="11"/>
      <c r="I47" s="12"/>
      <c r="J47" s="15"/>
      <c r="K47" s="12"/>
      <c r="L47" s="11"/>
      <c r="M47" s="12"/>
      <c r="N47" s="14"/>
      <c r="O47" s="12"/>
      <c r="P47" s="11" t="n">
        <v>1.9</v>
      </c>
      <c r="Q47" s="12"/>
      <c r="R47" s="11" t="n">
        <f aca="false">G47-P47</f>
        <v>-1.9</v>
      </c>
      <c r="T47" s="14" t="n">
        <v>9</v>
      </c>
      <c r="V47" s="21"/>
    </row>
    <row r="48" customFormat="false" ht="12.75" hidden="true" customHeight="false" outlineLevel="0" collapsed="false">
      <c r="B48" s="0" t="s">
        <v>32</v>
      </c>
      <c r="E48" s="11"/>
      <c r="F48" s="12"/>
      <c r="G48" s="11"/>
      <c r="H48" s="11" t="n">
        <v>162</v>
      </c>
      <c r="I48" s="12"/>
      <c r="J48" s="13" t="n">
        <v>151</v>
      </c>
      <c r="K48" s="12"/>
      <c r="L48" s="11" t="n">
        <v>140</v>
      </c>
      <c r="M48" s="12"/>
      <c r="N48" s="13" t="n">
        <f aca="false">25+17</f>
        <v>42</v>
      </c>
      <c r="O48" s="12"/>
      <c r="P48" s="11" t="n">
        <v>0</v>
      </c>
      <c r="Q48" s="12"/>
      <c r="R48" s="11"/>
      <c r="T48" s="15" t="n">
        <v>0</v>
      </c>
      <c r="V48" s="21"/>
    </row>
    <row r="49" customFormat="false" ht="12.75" hidden="true" customHeight="false" outlineLevel="0" collapsed="false">
      <c r="E49" s="11"/>
      <c r="F49" s="12"/>
      <c r="G49" s="11"/>
      <c r="H49" s="11"/>
      <c r="I49" s="12"/>
      <c r="J49" s="15" t="s">
        <v>12</v>
      </c>
      <c r="K49" s="12"/>
      <c r="L49" s="11"/>
      <c r="M49" s="12"/>
      <c r="N49" s="14" t="s">
        <v>12</v>
      </c>
      <c r="O49" s="12"/>
      <c r="P49" s="11"/>
      <c r="Q49" s="12"/>
      <c r="R49" s="11"/>
      <c r="T49" s="14" t="s">
        <v>12</v>
      </c>
      <c r="V49" s="21"/>
    </row>
    <row r="50" customFormat="false" ht="12.75" hidden="true" customHeight="false" outlineLevel="0" collapsed="false">
      <c r="B50" s="0" t="s">
        <v>33</v>
      </c>
      <c r="E50" s="11"/>
      <c r="F50" s="12"/>
      <c r="G50" s="11"/>
      <c r="H50" s="11" t="n">
        <v>31</v>
      </c>
      <c r="I50" s="12"/>
      <c r="J50" s="13" t="n">
        <v>107</v>
      </c>
      <c r="K50" s="12"/>
      <c r="L50" s="11" t="n">
        <v>7</v>
      </c>
      <c r="M50" s="12"/>
      <c r="N50" s="13" t="n">
        <v>36</v>
      </c>
      <c r="O50" s="12"/>
      <c r="P50" s="11" t="n">
        <v>0</v>
      </c>
      <c r="Q50" s="12"/>
      <c r="R50" s="11"/>
      <c r="T50" s="15" t="n">
        <v>0</v>
      </c>
      <c r="V50" s="21"/>
    </row>
    <row r="51" customFormat="false" ht="12.75" hidden="true" customHeight="false" outlineLevel="0" collapsed="false">
      <c r="E51" s="11"/>
      <c r="F51" s="12"/>
      <c r="G51" s="11"/>
      <c r="H51" s="11"/>
      <c r="I51" s="12"/>
      <c r="J51" s="15"/>
      <c r="K51" s="12"/>
      <c r="L51" s="11"/>
      <c r="M51" s="12"/>
      <c r="N51" s="14"/>
      <c r="O51" s="12"/>
      <c r="P51" s="11"/>
      <c r="Q51" s="12"/>
      <c r="R51" s="11"/>
      <c r="T51" s="14"/>
      <c r="V51" s="21"/>
    </row>
    <row r="52" customFormat="false" ht="7.5" hidden="false" customHeight="true" outlineLevel="0" collapsed="false">
      <c r="E52" s="11"/>
      <c r="F52" s="12"/>
      <c r="G52" s="11"/>
      <c r="H52" s="11"/>
      <c r="I52" s="12"/>
      <c r="J52" s="15"/>
      <c r="K52" s="12"/>
      <c r="L52" s="11"/>
      <c r="M52" s="12"/>
      <c r="N52" s="14"/>
      <c r="O52" s="12"/>
      <c r="P52" s="11"/>
      <c r="Q52" s="12"/>
      <c r="R52" s="11"/>
      <c r="T52" s="14"/>
      <c r="V52" s="21"/>
    </row>
    <row r="53" customFormat="false" ht="12.75" hidden="false" customHeight="false" outlineLevel="0" collapsed="false">
      <c r="B53" s="0" t="s">
        <v>34</v>
      </c>
      <c r="E53" s="11" t="n">
        <v>0</v>
      </c>
      <c r="G53" s="11" t="n">
        <v>0</v>
      </c>
      <c r="H53" s="14" t="n">
        <v>34.3</v>
      </c>
      <c r="I53" s="21"/>
      <c r="J53" s="13" t="n">
        <v>65</v>
      </c>
      <c r="K53" s="21"/>
      <c r="L53" s="14" t="n">
        <v>257.1</v>
      </c>
      <c r="N53" s="14" t="n">
        <v>5</v>
      </c>
      <c r="P53" s="11" t="n">
        <v>2.1</v>
      </c>
      <c r="R53" s="11" t="n">
        <f aca="false">G53-P53</f>
        <v>-2.1</v>
      </c>
      <c r="T53" s="14" t="n">
        <v>6</v>
      </c>
    </row>
    <row r="54" customFormat="false" ht="12.75" hidden="false" customHeight="false" outlineLevel="0" collapsed="false">
      <c r="E54" s="22"/>
      <c r="G54" s="22"/>
      <c r="H54" s="14"/>
      <c r="I54" s="21"/>
      <c r="J54" s="22"/>
      <c r="K54" s="21"/>
      <c r="L54" s="14"/>
      <c r="N54" s="22"/>
      <c r="P54" s="23"/>
      <c r="R54" s="22"/>
      <c r="T54" s="22"/>
    </row>
    <row r="55" customFormat="false" ht="12.75" hidden="false" customHeight="false" outlineLevel="0" collapsed="false">
      <c r="D55" s="16" t="s">
        <v>35</v>
      </c>
      <c r="E55" s="24" t="n">
        <v>60</v>
      </c>
      <c r="G55" s="25" t="n">
        <f aca="false">SUM(G9:G53)</f>
        <v>875</v>
      </c>
      <c r="H55" s="25" t="n">
        <f aca="false">+H9+H35+H39+H43+H45+H53+H48+H50</f>
        <v>354.9</v>
      </c>
      <c r="I55" s="26"/>
      <c r="J55" s="27" t="n">
        <f aca="false">+J9+J35+J39+J43+J45+J48+J50+J53</f>
        <v>747</v>
      </c>
      <c r="K55" s="26"/>
      <c r="L55" s="25" t="n">
        <f aca="false">+L9+L35+L39+L43+L45+L53+L48+L50</f>
        <v>524.8</v>
      </c>
      <c r="N55" s="27" t="n">
        <f aca="false">+N9+N35+N39+N43+N45+N53+N48+N50</f>
        <v>558</v>
      </c>
      <c r="P55" s="25" t="n">
        <f aca="false">SUM(P9:P53)-P33</f>
        <v>39.89</v>
      </c>
      <c r="R55" s="11" t="n">
        <f aca="false">SUM(R9:R53)-R33</f>
        <v>410.11</v>
      </c>
      <c r="T55" s="27" t="n">
        <f aca="false">SUM(T9:T53)-T33</f>
        <v>159</v>
      </c>
    </row>
    <row r="56" customFormat="false" ht="12.75" hidden="false" customHeight="false" outlineLevel="0" collapsed="false">
      <c r="H56" s="14"/>
      <c r="I56" s="21"/>
      <c r="J56" s="28"/>
      <c r="L56" s="14"/>
      <c r="N56" s="28"/>
      <c r="P56" s="11"/>
      <c r="R56" s="28"/>
      <c r="T56" s="28"/>
    </row>
    <row r="57" customFormat="false" ht="12.75" hidden="false" customHeight="false" outlineLevel="0" collapsed="false">
      <c r="B57" s="0" t="s">
        <v>36</v>
      </c>
      <c r="H57" s="14"/>
      <c r="I57" s="21"/>
      <c r="J57" s="14"/>
      <c r="L57" s="14"/>
      <c r="N57" s="14"/>
      <c r="P57" s="11" t="n">
        <f aca="false">1.5+2.3+0.9+1.4-0.1</f>
        <v>6</v>
      </c>
      <c r="R57" s="29" t="n">
        <f aca="false">G57-P57</f>
        <v>-6</v>
      </c>
      <c r="T57" s="14" t="n">
        <f aca="false">12+17+8+11</f>
        <v>48</v>
      </c>
    </row>
    <row r="58" customFormat="false" ht="12.75" hidden="false" customHeight="false" outlineLevel="0" collapsed="false">
      <c r="H58" s="14"/>
      <c r="I58" s="21"/>
      <c r="J58" s="14"/>
      <c r="L58" s="14"/>
      <c r="N58" s="14"/>
      <c r="P58" s="11"/>
      <c r="R58" s="14"/>
      <c r="T58" s="14"/>
    </row>
    <row r="59" customFormat="false" ht="12.75" hidden="false" customHeight="false" outlineLevel="0" collapsed="false">
      <c r="B59" s="0" t="s">
        <v>37</v>
      </c>
      <c r="H59" s="14"/>
      <c r="I59" s="21"/>
      <c r="J59" s="14"/>
      <c r="L59" s="14"/>
      <c r="N59" s="14"/>
      <c r="P59" s="11" t="n">
        <f aca="false">0.9+0.2+0.5</f>
        <v>1.6</v>
      </c>
      <c r="R59" s="29" t="n">
        <f aca="false">G59-P59</f>
        <v>-1.6</v>
      </c>
      <c r="T59" s="14" t="n">
        <f aca="false">12+2+6</f>
        <v>20</v>
      </c>
    </row>
    <row r="60" customFormat="false" ht="12.75" hidden="false" customHeight="false" outlineLevel="0" collapsed="false">
      <c r="H60" s="14"/>
      <c r="I60" s="21"/>
      <c r="J60" s="14"/>
      <c r="L60" s="14"/>
      <c r="N60" s="14"/>
      <c r="P60" s="11"/>
      <c r="R60" s="14"/>
      <c r="T60" s="14"/>
    </row>
    <row r="61" customFormat="false" ht="12.75" hidden="false" customHeight="false" outlineLevel="0" collapsed="false">
      <c r="B61" s="0" t="s">
        <v>38</v>
      </c>
      <c r="H61" s="30" t="n">
        <v>14</v>
      </c>
      <c r="I61" s="31"/>
      <c r="J61" s="13" t="n">
        <v>128</v>
      </c>
      <c r="L61" s="14" t="n">
        <v>7.9</v>
      </c>
      <c r="M61" s="0" t="s">
        <v>12</v>
      </c>
      <c r="N61" s="14" t="n">
        <v>122</v>
      </c>
      <c r="P61" s="11" t="n">
        <v>7.1</v>
      </c>
      <c r="R61" s="29" t="n">
        <f aca="false">G61-P61</f>
        <v>-7.1</v>
      </c>
      <c r="T61" s="14" t="n">
        <v>45</v>
      </c>
      <c r="U61" s="0" t="s">
        <v>12</v>
      </c>
      <c r="V61" s="0" t="s">
        <v>12</v>
      </c>
      <c r="W61" s="0" t="s">
        <v>12</v>
      </c>
      <c r="X61" s="0" t="s">
        <v>12</v>
      </c>
    </row>
    <row r="62" customFormat="false" ht="12.75" hidden="false" customHeight="false" outlineLevel="0" collapsed="false">
      <c r="H62" s="14"/>
      <c r="I62" s="21"/>
      <c r="J62" s="14"/>
      <c r="L62" s="14"/>
      <c r="N62" s="14"/>
      <c r="P62" s="11"/>
      <c r="R62" s="29"/>
      <c r="T62" s="14"/>
    </row>
    <row r="63" customFormat="false" ht="12.75" hidden="false" customHeight="false" outlineLevel="0" collapsed="false">
      <c r="B63" s="0" t="s">
        <v>39</v>
      </c>
      <c r="E63" s="0" t="s">
        <v>12</v>
      </c>
      <c r="H63" s="14" t="n">
        <v>5.7</v>
      </c>
      <c r="I63" s="21"/>
      <c r="J63" s="13" t="n">
        <v>30</v>
      </c>
      <c r="L63" s="14" t="n">
        <v>2.5</v>
      </c>
      <c r="M63" s="0" t="s">
        <v>12</v>
      </c>
      <c r="N63" s="14" t="n">
        <f aca="false">28+7</f>
        <v>35</v>
      </c>
      <c r="P63" s="11" t="n">
        <f aca="false">1.3+1</f>
        <v>2.3</v>
      </c>
      <c r="R63" s="29" t="n">
        <f aca="false">G63-P63</f>
        <v>-2.3</v>
      </c>
      <c r="T63" s="14" t="n">
        <f aca="false">6+5</f>
        <v>11</v>
      </c>
    </row>
    <row r="64" customFormat="false" ht="12.75" hidden="false" customHeight="false" outlineLevel="0" collapsed="false">
      <c r="H64" s="14"/>
      <c r="I64" s="21"/>
      <c r="J64" s="14"/>
      <c r="L64" s="14" t="s">
        <v>12</v>
      </c>
      <c r="N64" s="14"/>
      <c r="P64" s="11"/>
      <c r="R64" s="29"/>
      <c r="T64" s="14"/>
    </row>
    <row r="65" customFormat="false" ht="12.75" hidden="false" customHeight="false" outlineLevel="0" collapsed="false">
      <c r="B65" s="0" t="s">
        <v>40</v>
      </c>
      <c r="H65" s="14" t="n">
        <v>11.4</v>
      </c>
      <c r="I65" s="21"/>
      <c r="J65" s="15" t="s">
        <v>12</v>
      </c>
      <c r="L65" s="14" t="n">
        <v>9.5</v>
      </c>
      <c r="M65" s="0" t="s">
        <v>12</v>
      </c>
      <c r="N65" s="13"/>
      <c r="P65" s="11" t="n">
        <v>6.4</v>
      </c>
      <c r="R65" s="29" t="n">
        <f aca="false">G65-P65</f>
        <v>-6.4</v>
      </c>
      <c r="T65" s="14" t="n">
        <v>10</v>
      </c>
    </row>
    <row r="66" customFormat="false" ht="12.75" hidden="false" customHeight="false" outlineLevel="0" collapsed="false">
      <c r="H66" s="14"/>
      <c r="I66" s="21"/>
      <c r="J66" s="14"/>
      <c r="L66" s="14"/>
      <c r="M66" s="0" t="s">
        <v>12</v>
      </c>
      <c r="N66" s="14"/>
      <c r="P66" s="11"/>
      <c r="R66" s="14"/>
      <c r="T66" s="14"/>
    </row>
    <row r="67" customFormat="false" ht="12.75" hidden="false" customHeight="false" outlineLevel="0" collapsed="false">
      <c r="B67" s="0" t="s">
        <v>41</v>
      </c>
      <c r="H67" s="14" t="n">
        <v>11.4</v>
      </c>
      <c r="I67" s="21"/>
      <c r="J67" s="15" t="s">
        <v>12</v>
      </c>
      <c r="L67" s="30" t="n">
        <v>7.3</v>
      </c>
      <c r="N67" s="15"/>
      <c r="P67" s="11" t="n">
        <v>2.6</v>
      </c>
      <c r="R67" s="29" t="n">
        <f aca="false">G67-P67</f>
        <v>-2.6</v>
      </c>
      <c r="T67" s="14" t="n">
        <v>15</v>
      </c>
    </row>
    <row r="68" customFormat="false" ht="12.75" hidden="false" customHeight="false" outlineLevel="0" collapsed="false">
      <c r="H68" s="14"/>
      <c r="I68" s="21"/>
      <c r="J68" s="14"/>
      <c r="L68" s="14"/>
      <c r="N68" s="14"/>
      <c r="P68" s="11"/>
      <c r="R68" s="14"/>
      <c r="T68" s="14"/>
    </row>
    <row r="69" customFormat="false" ht="12.75" hidden="false" customHeight="false" outlineLevel="0" collapsed="false">
      <c r="B69" s="0" t="s">
        <v>42</v>
      </c>
      <c r="H69" s="14" t="n">
        <v>1.2</v>
      </c>
      <c r="I69" s="21"/>
      <c r="J69" s="15" t="n">
        <v>0</v>
      </c>
      <c r="L69" s="14" t="n">
        <v>0.7</v>
      </c>
      <c r="M69" s="0" t="s">
        <v>12</v>
      </c>
      <c r="N69" s="14" t="n">
        <v>26</v>
      </c>
      <c r="P69" s="11" t="n">
        <v>2.8</v>
      </c>
      <c r="R69" s="29" t="n">
        <f aca="false">G69-P69</f>
        <v>-2.8</v>
      </c>
      <c r="T69" s="14" t="n">
        <v>11</v>
      </c>
    </row>
    <row r="70" customFormat="false" ht="12.75" hidden="false" customHeight="false" outlineLevel="0" collapsed="false">
      <c r="H70" s="14"/>
      <c r="I70" s="21"/>
      <c r="J70" s="14"/>
      <c r="L70" s="14"/>
      <c r="N70" s="14"/>
      <c r="P70" s="11"/>
      <c r="R70" s="29"/>
      <c r="T70" s="14"/>
    </row>
    <row r="71" customFormat="false" ht="12.75" hidden="true" customHeight="false" outlineLevel="0" collapsed="false">
      <c r="B71" s="0" t="s">
        <v>43</v>
      </c>
      <c r="H71" s="14" t="n">
        <v>1.1</v>
      </c>
      <c r="I71" s="21"/>
      <c r="J71" s="15" t="n">
        <v>0</v>
      </c>
      <c r="L71" s="14" t="n">
        <v>0.7</v>
      </c>
      <c r="N71" s="14" t="n">
        <v>27</v>
      </c>
      <c r="P71" s="11" t="n">
        <v>0</v>
      </c>
      <c r="R71" s="29" t="n">
        <f aca="false">G71-P71</f>
        <v>0</v>
      </c>
      <c r="T71" s="14" t="n">
        <v>0</v>
      </c>
    </row>
    <row r="72" customFormat="false" ht="12.75" hidden="true" customHeight="false" outlineLevel="0" collapsed="false">
      <c r="H72" s="14"/>
      <c r="I72" s="21"/>
      <c r="J72" s="14" t="s">
        <v>12</v>
      </c>
      <c r="L72" s="14"/>
      <c r="N72" s="14" t="s">
        <v>12</v>
      </c>
      <c r="P72" s="11"/>
      <c r="R72" s="14"/>
      <c r="T72" s="14" t="s">
        <v>12</v>
      </c>
    </row>
    <row r="73" customFormat="false" ht="12.75" hidden="false" customHeight="false" outlineLevel="0" collapsed="false">
      <c r="B73" s="0" t="s">
        <v>44</v>
      </c>
      <c r="H73" s="14"/>
      <c r="I73" s="21"/>
      <c r="J73" s="15" t="s">
        <v>12</v>
      </c>
      <c r="L73" s="14"/>
      <c r="M73" s="0" t="s">
        <v>12</v>
      </c>
      <c r="N73" s="14"/>
      <c r="P73" s="11"/>
      <c r="R73" s="29"/>
      <c r="T73" s="14"/>
    </row>
    <row r="74" customFormat="false" ht="12.75" hidden="false" customHeight="false" outlineLevel="0" collapsed="false">
      <c r="C74" s="0" t="s">
        <v>45</v>
      </c>
      <c r="H74" s="14" t="n">
        <v>10.2</v>
      </c>
      <c r="I74" s="21"/>
      <c r="J74" s="13" t="s">
        <v>12</v>
      </c>
      <c r="L74" s="30" t="n">
        <v>7.6</v>
      </c>
      <c r="N74" s="11"/>
      <c r="P74" s="11" t="n">
        <f aca="false">(T74/$T$84)*$P$84</f>
        <v>5.35652173913044</v>
      </c>
      <c r="R74" s="29" t="n">
        <f aca="false">G74-P74</f>
        <v>-5.35652173913044</v>
      </c>
      <c r="T74" s="14" t="n">
        <v>32</v>
      </c>
      <c r="U74" s="0" t="n">
        <v>5</v>
      </c>
      <c r="V74" s="0" t="n">
        <v>0.5</v>
      </c>
    </row>
    <row r="75" customFormat="false" ht="12.75" hidden="false" customHeight="false" outlineLevel="0" collapsed="false">
      <c r="C75" s="0" t="s">
        <v>46</v>
      </c>
      <c r="H75" s="14" t="n">
        <v>8.6</v>
      </c>
      <c r="I75" s="21"/>
      <c r="J75" s="13" t="s">
        <v>12</v>
      </c>
      <c r="L75" s="30" t="n">
        <v>6</v>
      </c>
      <c r="N75" s="11"/>
      <c r="P75" s="11" t="n">
        <f aca="false">(T75/$T$84)*$P$84</f>
        <v>6.52826086956522</v>
      </c>
      <c r="R75" s="29" t="n">
        <f aca="false">G75-P75</f>
        <v>-6.52826086956522</v>
      </c>
      <c r="T75" s="14" t="n">
        <v>39</v>
      </c>
      <c r="U75" s="0" t="n">
        <v>4</v>
      </c>
      <c r="V75" s="0" t="n">
        <v>0.5</v>
      </c>
    </row>
    <row r="76" customFormat="false" ht="12.75" hidden="false" customHeight="false" outlineLevel="0" collapsed="false">
      <c r="C76" s="0" t="s">
        <v>47</v>
      </c>
      <c r="H76" s="14" t="n">
        <v>5.9</v>
      </c>
      <c r="I76" s="21"/>
      <c r="J76" s="13" t="s">
        <v>12</v>
      </c>
      <c r="L76" s="30" t="n">
        <v>4</v>
      </c>
      <c r="N76" s="11"/>
      <c r="P76" s="11" t="n">
        <f aca="false">(T76/$T$84)*$P$84</f>
        <v>4.85434782608696</v>
      </c>
      <c r="R76" s="29" t="n">
        <f aca="false">G76-P76</f>
        <v>-4.85434782608696</v>
      </c>
      <c r="T76" s="14" t="n">
        <f aca="false">21+8</f>
        <v>29</v>
      </c>
      <c r="U76" s="0" t="n">
        <v>4</v>
      </c>
      <c r="V76" s="0" t="n">
        <v>0.5</v>
      </c>
    </row>
    <row r="77" customFormat="false" ht="12.75" hidden="false" customHeight="false" outlineLevel="0" collapsed="false">
      <c r="C77" s="0" t="s">
        <v>48</v>
      </c>
      <c r="H77" s="14" t="n">
        <v>3.1</v>
      </c>
      <c r="I77" s="21"/>
      <c r="J77" s="15" t="s">
        <v>12</v>
      </c>
      <c r="L77" s="14" t="n">
        <v>2.7</v>
      </c>
      <c r="N77" s="11"/>
      <c r="P77" s="11" t="n">
        <f aca="false">(T77/$T$84)*$P$84</f>
        <v>1.00434782608696</v>
      </c>
      <c r="R77" s="29" t="n">
        <f aca="false">G77-P77</f>
        <v>-1.00434782608696</v>
      </c>
      <c r="T77" s="14" t="n">
        <v>6</v>
      </c>
      <c r="U77" s="0" t="n">
        <v>4</v>
      </c>
      <c r="V77" s="0" t="n">
        <v>0.5</v>
      </c>
    </row>
    <row r="78" customFormat="false" ht="12.75" hidden="false" customHeight="false" outlineLevel="0" collapsed="false">
      <c r="C78" s="0" t="s">
        <v>49</v>
      </c>
      <c r="H78" s="14" t="n">
        <v>2.7</v>
      </c>
      <c r="I78" s="21"/>
      <c r="J78" s="15" t="s">
        <v>12</v>
      </c>
      <c r="L78" s="14" t="n">
        <v>2.1</v>
      </c>
      <c r="M78" s="32"/>
      <c r="N78" s="11"/>
      <c r="O78" s="32"/>
      <c r="P78" s="11" t="n">
        <f aca="false">(T78/$T$84)*$P$84</f>
        <v>2.34347826086957</v>
      </c>
      <c r="R78" s="29" t="n">
        <f aca="false">G78-P78</f>
        <v>-2.34347826086957</v>
      </c>
      <c r="T78" s="14" t="n">
        <v>14</v>
      </c>
      <c r="U78" s="0" t="n">
        <v>4</v>
      </c>
      <c r="V78" s="0" t="n">
        <v>0.5</v>
      </c>
    </row>
    <row r="79" customFormat="false" ht="12.75" hidden="false" customHeight="false" outlineLevel="0" collapsed="false">
      <c r="C79" s="0" t="s">
        <v>50</v>
      </c>
      <c r="H79" s="14" t="n">
        <v>2.7</v>
      </c>
      <c r="I79" s="21"/>
      <c r="J79" s="15" t="s">
        <v>12</v>
      </c>
      <c r="L79" s="14" t="n">
        <v>2.1</v>
      </c>
      <c r="N79" s="11"/>
      <c r="P79" s="11" t="n">
        <f aca="false">(T79/$T$84)*$P$84</f>
        <v>1.84130434782609</v>
      </c>
      <c r="R79" s="29" t="n">
        <f aca="false">G79-P79</f>
        <v>-1.84130434782609</v>
      </c>
      <c r="T79" s="14" t="n">
        <v>11</v>
      </c>
      <c r="U79" s="0" t="n">
        <v>4</v>
      </c>
      <c r="V79" s="0" t="n">
        <v>0.5</v>
      </c>
    </row>
    <row r="80" customFormat="false" ht="12.75" hidden="false" customHeight="false" outlineLevel="0" collapsed="false">
      <c r="C80" s="0" t="s">
        <v>51</v>
      </c>
      <c r="H80" s="14" t="n">
        <v>2.7</v>
      </c>
      <c r="I80" s="21"/>
      <c r="J80" s="15" t="s">
        <v>12</v>
      </c>
      <c r="L80" s="14" t="n">
        <v>2.5</v>
      </c>
      <c r="N80" s="11"/>
      <c r="P80" s="11" t="n">
        <f aca="false">(T80/$T$84)*$P$84</f>
        <v>1.33913043478261</v>
      </c>
      <c r="R80" s="29" t="n">
        <f aca="false">G80-P80</f>
        <v>-1.33913043478261</v>
      </c>
      <c r="T80" s="14" t="n">
        <v>8</v>
      </c>
      <c r="U80" s="0" t="n">
        <v>5</v>
      </c>
      <c r="V80" s="0" t="n">
        <v>0.5</v>
      </c>
    </row>
    <row r="81" customFormat="false" ht="12.75" hidden="false" customHeight="false" outlineLevel="0" collapsed="false">
      <c r="C81" s="0" t="s">
        <v>52</v>
      </c>
      <c r="H81" s="22" t="n">
        <v>3.3</v>
      </c>
      <c r="I81" s="21"/>
      <c r="J81" s="33" t="s">
        <v>12</v>
      </c>
      <c r="L81" s="22" t="n">
        <v>2.9</v>
      </c>
      <c r="N81" s="23"/>
      <c r="P81" s="11" t="n">
        <f aca="false">(T81/$T$84)*$P$84</f>
        <v>2.34347826086957</v>
      </c>
      <c r="R81" s="29" t="n">
        <f aca="false">G81-P81</f>
        <v>-2.34347826086957</v>
      </c>
      <c r="T81" s="14" t="n">
        <v>14</v>
      </c>
      <c r="U81" s="34" t="n">
        <v>6</v>
      </c>
      <c r="V81" s="0" t="n">
        <v>0.05</v>
      </c>
    </row>
    <row r="82" customFormat="false" ht="12.75" hidden="false" customHeight="false" outlineLevel="0" collapsed="false">
      <c r="C82" s="0" t="s">
        <v>53</v>
      </c>
      <c r="H82" s="14"/>
      <c r="I82" s="21"/>
      <c r="J82" s="15"/>
      <c r="L82" s="14"/>
      <c r="N82" s="11"/>
      <c r="P82" s="11" t="n">
        <f aca="false">(T82/$T$84)*$P$84</f>
        <v>4.85434782608696</v>
      </c>
      <c r="R82" s="29" t="n">
        <f aca="false">G82-P82</f>
        <v>-4.85434782608696</v>
      </c>
      <c r="T82" s="14" t="n">
        <v>29</v>
      </c>
      <c r="U82" s="21"/>
    </row>
    <row r="83" customFormat="false" ht="12.75" hidden="false" customHeight="false" outlineLevel="0" collapsed="false">
      <c r="C83" s="0" t="s">
        <v>54</v>
      </c>
      <c r="H83" s="14"/>
      <c r="I83" s="21"/>
      <c r="J83" s="15"/>
      <c r="L83" s="14"/>
      <c r="N83" s="11"/>
      <c r="P83" s="23" t="n">
        <f aca="false">(T83/$T$84)*$P$84+0.1</f>
        <v>0.434782608695652</v>
      </c>
      <c r="R83" s="24" t="n">
        <f aca="false">G83-P83+0.06</f>
        <v>-0.374782608695652</v>
      </c>
      <c r="T83" s="22" t="n">
        <v>2</v>
      </c>
      <c r="U83" s="21"/>
    </row>
    <row r="84" customFormat="false" ht="12.75" hidden="false" customHeight="false" outlineLevel="0" collapsed="false">
      <c r="H84" s="35" t="n">
        <f aca="false">SUM(H74:H81)</f>
        <v>39.2</v>
      </c>
      <c r="I84" s="36"/>
      <c r="J84" s="37" t="n">
        <v>452</v>
      </c>
      <c r="L84" s="35" t="n">
        <f aca="false">SUM(L74:L81)</f>
        <v>29.9</v>
      </c>
      <c r="N84" s="37"/>
      <c r="P84" s="35" t="n">
        <v>30.8</v>
      </c>
      <c r="R84" s="29" t="n">
        <f aca="false">SUM(R74:R83)</f>
        <v>-30.84</v>
      </c>
      <c r="T84" s="37" t="n">
        <f aca="false">SUM(T74:T83)</f>
        <v>184</v>
      </c>
      <c r="U84" s="0" t="n">
        <v>178</v>
      </c>
      <c r="V84" s="0" t="n">
        <f aca="false">SUM(V74:V81)</f>
        <v>3.55</v>
      </c>
      <c r="W84" s="0" t="s">
        <v>55</v>
      </c>
    </row>
    <row r="85" customFormat="false" ht="12.75" hidden="false" customHeight="false" outlineLevel="0" collapsed="false">
      <c r="H85" s="14"/>
      <c r="I85" s="21"/>
      <c r="J85" s="14"/>
      <c r="L85" s="14"/>
      <c r="N85" s="14"/>
      <c r="P85" s="14"/>
      <c r="R85" s="14"/>
      <c r="T85" s="14"/>
    </row>
    <row r="86" customFormat="false" ht="12.75" hidden="false" customHeight="false" outlineLevel="0" collapsed="false">
      <c r="B86" s="0" t="s">
        <v>56</v>
      </c>
      <c r="H86" s="14" t="n">
        <v>10.7</v>
      </c>
      <c r="I86" s="21"/>
      <c r="J86" s="13" t="n">
        <v>39</v>
      </c>
      <c r="L86" s="14" t="n">
        <v>4.1</v>
      </c>
      <c r="M86" s="0" t="s">
        <v>12</v>
      </c>
      <c r="N86" s="37" t="n">
        <v>105</v>
      </c>
      <c r="P86" s="11" t="n">
        <v>2.1</v>
      </c>
      <c r="R86" s="29" t="n">
        <f aca="false">G86-P86</f>
        <v>-2.1</v>
      </c>
      <c r="T86" s="37" t="n">
        <v>14</v>
      </c>
    </row>
    <row r="87" customFormat="false" ht="12.75" hidden="false" customHeight="false" outlineLevel="0" collapsed="false">
      <c r="H87" s="14"/>
      <c r="I87" s="21"/>
      <c r="J87" s="14"/>
      <c r="L87" s="14"/>
      <c r="N87" s="14"/>
      <c r="P87" s="14"/>
      <c r="R87" s="14"/>
      <c r="T87" s="14"/>
    </row>
    <row r="88" customFormat="false" ht="12.75" hidden="false" customHeight="false" outlineLevel="0" collapsed="false">
      <c r="B88" s="0" t="s">
        <v>57</v>
      </c>
      <c r="H88" s="14" t="n">
        <v>27.5</v>
      </c>
      <c r="I88" s="21"/>
      <c r="J88" s="13" t="n">
        <v>175</v>
      </c>
      <c r="L88" s="30" t="n">
        <v>29</v>
      </c>
      <c r="M88" s="0" t="s">
        <v>12</v>
      </c>
      <c r="N88" s="37"/>
      <c r="P88" s="11" t="n">
        <v>31.2</v>
      </c>
      <c r="R88" s="29" t="n">
        <f aca="false">G88-P88</f>
        <v>-31.2</v>
      </c>
      <c r="T88" s="37" t="n">
        <v>141</v>
      </c>
      <c r="U88" s="0" t="s">
        <v>12</v>
      </c>
      <c r="V88" s="0" t="s">
        <v>12</v>
      </c>
    </row>
    <row r="89" customFormat="false" ht="12.75" hidden="false" customHeight="false" outlineLevel="0" collapsed="false">
      <c r="B89" s="0" t="s">
        <v>58</v>
      </c>
      <c r="H89" s="14" t="n">
        <v>48.9</v>
      </c>
      <c r="I89" s="21"/>
      <c r="J89" s="15" t="s">
        <v>12</v>
      </c>
      <c r="L89" s="30" t="n">
        <v>55</v>
      </c>
      <c r="N89" s="37"/>
      <c r="P89" s="11" t="n">
        <v>24.9</v>
      </c>
      <c r="R89" s="29" t="n">
        <f aca="false">G89-P89</f>
        <v>-24.9</v>
      </c>
      <c r="T89" s="37" t="n">
        <v>59</v>
      </c>
    </row>
    <row r="90" customFormat="false" ht="12.75" hidden="true" customHeight="false" outlineLevel="0" collapsed="false">
      <c r="B90" s="0" t="s">
        <v>59</v>
      </c>
      <c r="H90" s="14" t="n">
        <v>1.1</v>
      </c>
      <c r="I90" s="21"/>
      <c r="J90" s="15" t="s">
        <v>12</v>
      </c>
      <c r="L90" s="14" t="n">
        <v>7.7</v>
      </c>
      <c r="N90" s="37"/>
      <c r="P90" s="11" t="n">
        <v>0</v>
      </c>
      <c r="R90" s="29" t="n">
        <f aca="false">G90-P90</f>
        <v>0</v>
      </c>
      <c r="T90" s="37" t="n">
        <v>0</v>
      </c>
    </row>
    <row r="91" customFormat="false" ht="12.75" hidden="false" customHeight="false" outlineLevel="0" collapsed="false">
      <c r="B91" s="0" t="s">
        <v>60</v>
      </c>
      <c r="H91" s="14" t="n">
        <v>0.8</v>
      </c>
      <c r="I91" s="21"/>
      <c r="J91" s="15" t="s">
        <v>12</v>
      </c>
      <c r="L91" s="14" t="n">
        <v>5.2</v>
      </c>
      <c r="N91" s="37"/>
      <c r="P91" s="11" t="n">
        <v>7.5</v>
      </c>
      <c r="R91" s="29" t="n">
        <f aca="false">G91-P91</f>
        <v>-7.5</v>
      </c>
      <c r="T91" s="37" t="n">
        <v>39</v>
      </c>
    </row>
    <row r="92" customFormat="false" ht="12.75" hidden="false" customHeight="false" outlineLevel="0" collapsed="false">
      <c r="H92" s="14"/>
      <c r="I92" s="21"/>
      <c r="J92" s="37"/>
      <c r="L92" s="14"/>
      <c r="N92" s="37"/>
      <c r="P92" s="11"/>
      <c r="R92" s="29"/>
      <c r="T92" s="37"/>
    </row>
    <row r="93" customFormat="false" ht="12.75" hidden="false" customHeight="false" outlineLevel="0" collapsed="false">
      <c r="H93" s="14"/>
      <c r="I93" s="21"/>
      <c r="J93" s="14"/>
      <c r="L93" s="14"/>
      <c r="N93" s="14"/>
      <c r="P93" s="13"/>
      <c r="R93" s="14"/>
      <c r="T93" s="14"/>
    </row>
    <row r="94" customFormat="false" ht="12.75" hidden="false" customHeight="false" outlineLevel="0" collapsed="false">
      <c r="B94" s="0" t="s">
        <v>61</v>
      </c>
      <c r="H94" s="14" t="n">
        <v>2.8</v>
      </c>
      <c r="I94" s="21"/>
      <c r="J94" s="15" t="n">
        <v>0</v>
      </c>
      <c r="L94" s="14" t="n">
        <v>3.5</v>
      </c>
      <c r="M94" s="0" t="s">
        <v>12</v>
      </c>
      <c r="N94" s="37" t="n">
        <v>96</v>
      </c>
      <c r="P94" s="11" t="n">
        <v>4.8</v>
      </c>
      <c r="R94" s="29" t="n">
        <f aca="false">G94-P94</f>
        <v>-4.8</v>
      </c>
      <c r="T94" s="37" t="n">
        <v>33</v>
      </c>
    </row>
    <row r="95" customFormat="false" ht="12.75" hidden="false" customHeight="false" outlineLevel="0" collapsed="false">
      <c r="H95" s="14"/>
      <c r="I95" s="21"/>
      <c r="J95" s="14"/>
      <c r="L95" s="14"/>
      <c r="N95" s="14"/>
      <c r="P95" s="13"/>
      <c r="R95" s="14"/>
      <c r="T95" s="14"/>
    </row>
    <row r="96" customFormat="false" ht="12.75" hidden="false" customHeight="false" outlineLevel="0" collapsed="false">
      <c r="B96" s="0" t="s">
        <v>62</v>
      </c>
      <c r="H96" s="14" t="n">
        <v>39.3</v>
      </c>
      <c r="I96" s="21"/>
      <c r="J96" s="13" t="n">
        <v>90</v>
      </c>
      <c r="L96" s="14" t="n">
        <v>10.1</v>
      </c>
      <c r="M96" s="0" t="s">
        <v>12</v>
      </c>
      <c r="N96" s="37" t="n">
        <v>116</v>
      </c>
      <c r="P96" s="11" t="n">
        <v>8.7</v>
      </c>
      <c r="R96" s="29" t="n">
        <f aca="false">G96-P96</f>
        <v>-8.7</v>
      </c>
      <c r="T96" s="37" t="n">
        <v>22</v>
      </c>
      <c r="U96" s="0" t="s">
        <v>12</v>
      </c>
      <c r="V96" s="0" t="s">
        <v>12</v>
      </c>
    </row>
    <row r="97" customFormat="false" ht="12.75" hidden="false" customHeight="false" outlineLevel="0" collapsed="false">
      <c r="H97" s="14"/>
      <c r="I97" s="21"/>
      <c r="J97" s="37"/>
      <c r="L97" s="14"/>
      <c r="N97" s="37"/>
      <c r="P97" s="11"/>
      <c r="R97" s="29"/>
      <c r="T97" s="37"/>
      <c r="V97" s="0" t="s">
        <v>12</v>
      </c>
    </row>
    <row r="98" customFormat="false" ht="12.75" hidden="false" customHeight="false" outlineLevel="0" collapsed="false">
      <c r="B98" s="0" t="s">
        <v>63</v>
      </c>
      <c r="H98" s="14"/>
      <c r="I98" s="21"/>
      <c r="J98" s="37"/>
      <c r="L98" s="14"/>
      <c r="M98" s="0" t="s">
        <v>12</v>
      </c>
      <c r="N98" s="37"/>
      <c r="P98" s="11"/>
      <c r="R98" s="29"/>
      <c r="T98" s="37"/>
    </row>
    <row r="99" customFormat="false" ht="12.75" hidden="false" customHeight="false" outlineLevel="0" collapsed="false">
      <c r="C99" s="0" t="s">
        <v>64</v>
      </c>
      <c r="H99" s="30" t="n">
        <f aca="false">15.3+0.7</f>
        <v>16</v>
      </c>
      <c r="I99" s="21"/>
      <c r="J99" s="37"/>
      <c r="L99" s="30" t="n">
        <v>6</v>
      </c>
      <c r="N99" s="37"/>
      <c r="P99" s="11" t="n">
        <v>5</v>
      </c>
      <c r="R99" s="29" t="n">
        <f aca="false">G99-P99</f>
        <v>-5</v>
      </c>
      <c r="T99" s="37"/>
    </row>
    <row r="100" customFormat="false" ht="12.75" hidden="false" customHeight="false" outlineLevel="0" collapsed="false">
      <c r="C100" s="0" t="s">
        <v>65</v>
      </c>
      <c r="H100" s="30" t="n">
        <v>1</v>
      </c>
      <c r="I100" s="31"/>
      <c r="J100" s="37"/>
      <c r="L100" s="14" t="n">
        <v>0.8</v>
      </c>
      <c r="N100" s="37"/>
      <c r="P100" s="11" t="n">
        <v>0.5</v>
      </c>
      <c r="R100" s="29" t="n">
        <f aca="false">G100-P100</f>
        <v>-0.5</v>
      </c>
      <c r="T100" s="37"/>
    </row>
    <row r="101" customFormat="false" ht="12.75" hidden="false" customHeight="false" outlineLevel="0" collapsed="false">
      <c r="C101" s="0" t="s">
        <v>55</v>
      </c>
      <c r="H101" s="30" t="n">
        <v>1</v>
      </c>
      <c r="I101" s="31"/>
      <c r="J101" s="37"/>
      <c r="L101" s="30" t="n">
        <v>0.1</v>
      </c>
      <c r="N101" s="37"/>
      <c r="P101" s="11" t="n">
        <v>1</v>
      </c>
      <c r="R101" s="29" t="n">
        <f aca="false">G101-P101</f>
        <v>-1</v>
      </c>
      <c r="T101" s="37"/>
    </row>
    <row r="102" customFormat="false" ht="12.75" hidden="false" customHeight="false" outlineLevel="0" collapsed="false">
      <c r="C102" s="0" t="s">
        <v>22</v>
      </c>
      <c r="H102" s="14" t="n">
        <v>0.4</v>
      </c>
      <c r="I102" s="21"/>
      <c r="J102" s="37"/>
      <c r="L102" s="14" t="n">
        <v>0.1</v>
      </c>
      <c r="N102" s="37"/>
      <c r="P102" s="11" t="n">
        <v>0.6</v>
      </c>
      <c r="R102" s="29" t="n">
        <f aca="false">G102-P102</f>
        <v>-0.6</v>
      </c>
      <c r="T102" s="37"/>
    </row>
    <row r="103" customFormat="false" ht="12.75" hidden="false" customHeight="false" outlineLevel="0" collapsed="false">
      <c r="H103" s="14"/>
      <c r="I103" s="21"/>
      <c r="J103" s="37"/>
      <c r="L103" s="14"/>
      <c r="N103" s="37"/>
      <c r="P103" s="11"/>
      <c r="R103" s="29"/>
      <c r="T103" s="37"/>
    </row>
    <row r="104" customFormat="false" ht="12.75" hidden="true" customHeight="false" outlineLevel="0" collapsed="false">
      <c r="B104" s="0" t="s">
        <v>66</v>
      </c>
      <c r="H104" s="14" t="n">
        <f aca="false">7.3-0.4</f>
        <v>6.9</v>
      </c>
      <c r="I104" s="21"/>
      <c r="J104" s="37"/>
      <c r="L104" s="14" t="n">
        <v>37.4</v>
      </c>
      <c r="N104" s="37"/>
      <c r="P104" s="11" t="n">
        <v>0</v>
      </c>
      <c r="R104" s="29"/>
      <c r="T104" s="37"/>
    </row>
    <row r="105" customFormat="false" ht="12.75" hidden="true" customHeight="false" outlineLevel="0" collapsed="false">
      <c r="H105" s="14"/>
      <c r="I105" s="21"/>
      <c r="J105" s="37"/>
      <c r="L105" s="14"/>
      <c r="N105" s="37"/>
      <c r="P105" s="11"/>
      <c r="R105" s="29"/>
      <c r="T105" s="37"/>
    </row>
    <row r="106" customFormat="false" ht="12.75" hidden="true" customHeight="false" outlineLevel="0" collapsed="false">
      <c r="B106" s="0" t="s">
        <v>67</v>
      </c>
      <c r="H106" s="15" t="n">
        <v>0</v>
      </c>
      <c r="I106" s="21"/>
      <c r="J106" s="37"/>
      <c r="L106" s="14" t="n">
        <v>20.9</v>
      </c>
      <c r="N106" s="37"/>
      <c r="P106" s="11"/>
      <c r="R106" s="29"/>
      <c r="T106" s="37"/>
    </row>
    <row r="107" customFormat="false" ht="12.75" hidden="true" customHeight="false" outlineLevel="0" collapsed="false">
      <c r="H107" s="14"/>
      <c r="I107" s="21"/>
      <c r="J107" s="37"/>
      <c r="L107" s="14"/>
      <c r="N107" s="37"/>
      <c r="P107" s="11"/>
      <c r="R107" s="29"/>
      <c r="T107" s="37"/>
    </row>
    <row r="108" customFormat="false" ht="12.75" hidden="false" customHeight="false" outlineLevel="0" collapsed="false">
      <c r="B108" s="0" t="s">
        <v>68</v>
      </c>
      <c r="H108" s="14" t="n">
        <v>0.1</v>
      </c>
      <c r="I108" s="21"/>
      <c r="J108" s="37" t="n">
        <v>0</v>
      </c>
      <c r="L108" s="30" t="n">
        <v>13.6</v>
      </c>
      <c r="N108" s="37" t="n">
        <f aca="false">29+29+10+37+24</f>
        <v>129</v>
      </c>
      <c r="P108" s="11" t="n">
        <f aca="false">6.7+0.94+1.2</f>
        <v>8.84</v>
      </c>
      <c r="R108" s="29" t="n">
        <f aca="false">G108-P108</f>
        <v>-8.84</v>
      </c>
      <c r="T108" s="37" t="n">
        <f aca="false">33+5+5</f>
        <v>43</v>
      </c>
    </row>
    <row r="109" customFormat="false" ht="12.75" hidden="false" customHeight="false" outlineLevel="0" collapsed="false">
      <c r="H109" s="14"/>
      <c r="I109" s="21"/>
      <c r="J109" s="37"/>
      <c r="L109" s="14"/>
      <c r="N109" s="37"/>
      <c r="P109" s="11"/>
      <c r="R109" s="29"/>
      <c r="T109" s="37"/>
    </row>
    <row r="110" customFormat="false" ht="12.75" hidden="false" customHeight="false" outlineLevel="0" collapsed="false">
      <c r="H110" s="14"/>
      <c r="I110" s="21"/>
      <c r="J110" s="37"/>
      <c r="L110" s="14"/>
      <c r="N110" s="37"/>
      <c r="P110" s="11"/>
      <c r="R110" s="29"/>
      <c r="T110" s="37"/>
    </row>
    <row r="111" customFormat="false" ht="12.75" hidden="false" customHeight="false" outlineLevel="0" collapsed="false">
      <c r="B111" s="0" t="s">
        <v>69</v>
      </c>
      <c r="H111" s="14"/>
      <c r="I111" s="21"/>
      <c r="J111" s="37"/>
      <c r="L111" s="11"/>
      <c r="N111" s="37"/>
      <c r="P111" s="11" t="n">
        <f aca="false">9+2.4+2</f>
        <v>13.4</v>
      </c>
      <c r="R111" s="29" t="n">
        <f aca="false">G111-P111</f>
        <v>-13.4</v>
      </c>
      <c r="T111" s="37"/>
      <c r="U111" s="0" t="s">
        <v>70</v>
      </c>
    </row>
    <row r="112" customFormat="false" ht="12.75" hidden="false" customHeight="false" outlineLevel="0" collapsed="false">
      <c r="H112" s="14"/>
      <c r="I112" s="21"/>
      <c r="J112" s="37"/>
      <c r="L112" s="14"/>
      <c r="N112" s="37"/>
      <c r="P112" s="11"/>
      <c r="R112" s="29"/>
      <c r="T112" s="37"/>
      <c r="U112" s="0" t="s">
        <v>71</v>
      </c>
    </row>
    <row r="113" customFormat="false" ht="12.75" hidden="false" customHeight="false" outlineLevel="0" collapsed="false">
      <c r="B113" s="0" t="s">
        <v>72</v>
      </c>
      <c r="H113" s="14" t="n">
        <v>130.6</v>
      </c>
      <c r="I113" s="21"/>
      <c r="J113" s="14"/>
      <c r="L113" s="11" t="n">
        <v>61.2</v>
      </c>
      <c r="N113" s="14"/>
      <c r="P113" s="11" t="n">
        <v>0</v>
      </c>
      <c r="R113" s="15" t="n">
        <v>0</v>
      </c>
      <c r="T113" s="14"/>
    </row>
    <row r="114" customFormat="false" ht="12.75" hidden="false" customHeight="false" outlineLevel="0" collapsed="false">
      <c r="H114" s="14"/>
      <c r="I114" s="21"/>
      <c r="J114" s="22"/>
      <c r="L114" s="14"/>
      <c r="N114" s="22"/>
      <c r="P114" s="11"/>
      <c r="Q114" s="21"/>
      <c r="R114" s="29"/>
      <c r="T114" s="22"/>
    </row>
    <row r="115" customFormat="false" ht="12.75" hidden="false" customHeight="false" outlineLevel="0" collapsed="false">
      <c r="D115" s="16" t="s">
        <v>73</v>
      </c>
      <c r="H115" s="38" t="n">
        <f aca="false">+H61+H63+H65+H67+H69+H71+H84+H86+H88+H89+H90+H91+H94+H96+H99+H100+H101+H102+H108+H111+H104+H113</f>
        <v>371.1</v>
      </c>
      <c r="I115" s="12"/>
      <c r="J115" s="39" t="n">
        <f aca="false">+J61+J63+J84+J86+J88+J96</f>
        <v>914</v>
      </c>
      <c r="L115" s="38" t="n">
        <f aca="false">+L61+L63+L65+L67+L69+L71+L84+L86+L88+L89+L90+L91+L94+L96+L99+L100+L101+L102+L108+L111+L104+L113+L106</f>
        <v>313.2</v>
      </c>
      <c r="N115" s="39" t="n">
        <f aca="false">+N61+N63+N65+N67+N69+N71+N84+N86+N88+N89+N90+N91+N94+N96+N99+N100+N101+N102+N108+N111+N104+N113</f>
        <v>656</v>
      </c>
      <c r="P115" s="38" t="n">
        <f aca="false">P57+P59+P61+P63+P65+P67+P69+P71+P84+P86+P88+P89+P90+P91+P94+P96+P99+P100+P101+P102+P108+P111+P104+P113</f>
        <v>168.14</v>
      </c>
      <c r="Q115" s="11" t="s">
        <v>12</v>
      </c>
      <c r="R115" s="38" t="n">
        <f aca="false">R57+R59+R61+R63+R65+R67+R69+R71+R84+R86+R88+R89+R90+R91+R94+R96+R99+R100+R101+R102+R108+R111+R104+R113+0.1</f>
        <v>-168.08</v>
      </c>
      <c r="T115" s="38" t="n">
        <f aca="false">T57+T59+T61+T63+T65+T67+T69+T71+T84+T86+T88+T89+T90+T91+T94+T96+T99+T100+T101+T102+T108+T111+T104+T113</f>
        <v>695</v>
      </c>
    </row>
    <row r="116" customFormat="false" ht="12.75" hidden="false" customHeight="false" outlineLevel="0" collapsed="false">
      <c r="E116" s="12"/>
      <c r="F116" s="21"/>
      <c r="G116" s="12"/>
      <c r="H116" s="11"/>
      <c r="I116" s="12"/>
      <c r="J116" s="40"/>
      <c r="K116" s="12"/>
      <c r="L116" s="11"/>
      <c r="N116" s="40"/>
      <c r="P116" s="40"/>
      <c r="R116" s="40"/>
      <c r="T116" s="40"/>
    </row>
    <row r="117" customFormat="false" ht="12.75" hidden="false" customHeight="false" outlineLevel="0" collapsed="false">
      <c r="E117" s="12"/>
      <c r="F117" s="21"/>
      <c r="G117" s="12"/>
      <c r="H117" s="11"/>
      <c r="I117" s="12"/>
      <c r="J117" s="11"/>
      <c r="K117" s="12"/>
      <c r="L117" s="11"/>
      <c r="N117" s="11"/>
      <c r="P117" s="11"/>
      <c r="R117" s="11"/>
      <c r="T117" s="11"/>
    </row>
    <row r="118" customFormat="false" ht="12.75" hidden="false" customHeight="false" outlineLevel="0" collapsed="false">
      <c r="D118" s="16" t="s">
        <v>74</v>
      </c>
      <c r="E118" s="26"/>
      <c r="F118" s="21"/>
      <c r="G118" s="25" t="n">
        <f aca="false">G55</f>
        <v>875</v>
      </c>
      <c r="H118" s="41" t="n">
        <f aca="false">H115+H55</f>
        <v>726</v>
      </c>
      <c r="I118" s="36"/>
      <c r="J118" s="42" t="n">
        <f aca="false">J115+J55</f>
        <v>1661</v>
      </c>
      <c r="K118" s="26"/>
      <c r="L118" s="41" t="n">
        <f aca="false">L115+L55</f>
        <v>838</v>
      </c>
      <c r="N118" s="42" t="n">
        <f aca="false">N115+N55</f>
        <v>1214</v>
      </c>
      <c r="P118" s="41" t="n">
        <f aca="false">P115+P55</f>
        <v>208.03</v>
      </c>
      <c r="R118" s="41" t="n">
        <f aca="false">G118-P118</f>
        <v>666.97</v>
      </c>
      <c r="T118" s="42" t="n">
        <f aca="false">T115+T55</f>
        <v>854</v>
      </c>
    </row>
    <row r="119" customFormat="false" ht="12.75" hidden="false" customHeight="false" outlineLevel="0" collapsed="false">
      <c r="F119" s="21"/>
      <c r="G119" s="12"/>
      <c r="H119" s="12"/>
      <c r="I119" s="12"/>
      <c r="J119" s="12"/>
      <c r="K119" s="12"/>
      <c r="L119" s="12"/>
      <c r="P119" s="12"/>
      <c r="R119" s="12"/>
      <c r="T119" s="12"/>
    </row>
    <row r="120" customFormat="false" ht="12.75" hidden="false" customHeight="false" outlineLevel="0" collapsed="false">
      <c r="B120" s="0" t="s">
        <v>75</v>
      </c>
      <c r="G120" s="21"/>
      <c r="H120" s="21"/>
      <c r="I120" s="21"/>
      <c r="J120" s="21"/>
      <c r="K120" s="21"/>
      <c r="L120" s="21"/>
      <c r="P120" s="21"/>
      <c r="Q120" s="21"/>
      <c r="R120" s="21"/>
      <c r="S120" s="21"/>
      <c r="T120" s="21"/>
    </row>
    <row r="121" customFormat="false" ht="12.75" hidden="false" customHeight="false" outlineLevel="0" collapsed="false">
      <c r="B121" s="0" t="s">
        <v>76</v>
      </c>
      <c r="G121" s="21"/>
      <c r="H121" s="21"/>
      <c r="I121" s="21"/>
      <c r="J121" s="21"/>
      <c r="K121" s="21"/>
      <c r="L121" s="21"/>
    </row>
    <row r="122" customFormat="false" ht="12.75" hidden="false" customHeight="false" outlineLevel="0" collapsed="false">
      <c r="B122" s="0" t="s">
        <v>77</v>
      </c>
      <c r="G122" s="21"/>
      <c r="H122" s="21"/>
      <c r="I122" s="21"/>
      <c r="J122" s="21"/>
      <c r="K122" s="21"/>
      <c r="L122" s="21"/>
    </row>
    <row r="123" customFormat="false" ht="12.75" hidden="false" customHeight="false" outlineLevel="0" collapsed="false">
      <c r="B123" s="0" t="s">
        <v>78</v>
      </c>
      <c r="G123" s="21"/>
      <c r="H123" s="21"/>
      <c r="I123" s="21"/>
      <c r="J123" s="21"/>
      <c r="K123" s="21"/>
      <c r="L123" s="21"/>
    </row>
    <row r="124" customFormat="false" ht="12.75" hidden="false" customHeight="false" outlineLevel="0" collapsed="false">
      <c r="B124" s="0" t="s">
        <v>79</v>
      </c>
    </row>
  </sheetData>
  <mergeCells count="3">
    <mergeCell ref="A1:T1"/>
    <mergeCell ref="A2:T2"/>
    <mergeCell ref="A3:T3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false" outlineLevel="0" max="14" min="14" style="0" width="21.28"/>
    <col collapsed="false" customWidth="true" hidden="false" outlineLevel="0" max="15" min="15" style="0" width="16.84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164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Q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Q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f aca="false">L28-H10</f>
        <v>1148400</v>
      </c>
      <c r="I8" s="52" t="s">
        <v>96</v>
      </c>
      <c r="J8" s="43" t="n">
        <v>0</v>
      </c>
      <c r="L8" s="53" t="n">
        <f aca="false">L30</f>
        <v>1378080</v>
      </c>
      <c r="Q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8" t="n">
        <v>0</v>
      </c>
      <c r="G9" s="59" t="n">
        <f aca="false">E9/$E$23</f>
        <v>0</v>
      </c>
      <c r="H9" s="58" t="n">
        <v>0</v>
      </c>
      <c r="I9" s="52"/>
      <c r="L9" s="53"/>
      <c r="Q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8"/>
      <c r="E10" s="58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9" t="n">
        <f aca="false">E10/$E$23</f>
        <v>0.00377976191391553</v>
      </c>
      <c r="H10" s="58" t="n">
        <f aca="false">L21+L22</f>
        <v>0</v>
      </c>
      <c r="I10" s="52"/>
      <c r="L10" s="53"/>
      <c r="Q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L30-L28</f>
        <v>229680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7</v>
      </c>
      <c r="L11" s="53" t="n">
        <f aca="false">J11*K11</f>
        <v>337891.26875</v>
      </c>
      <c r="N11" s="61"/>
      <c r="O11" s="61"/>
      <c r="P11" s="61"/>
      <c r="Q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f aca="false">(E12/$E$29)*$K$11</f>
        <v>43137.31625</v>
      </c>
      <c r="I12" s="52"/>
      <c r="L12" s="53"/>
      <c r="N12" s="61"/>
      <c r="O12" s="61"/>
      <c r="P12" s="61"/>
      <c r="Q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f aca="false">+((3500*5)+(1500*2))*12</f>
        <v>246000</v>
      </c>
      <c r="I13" s="63" t="s">
        <v>105</v>
      </c>
      <c r="J13" s="64"/>
      <c r="K13" s="64"/>
      <c r="L13" s="65" t="n">
        <f aca="false">L8+L11</f>
        <v>1715971.26875</v>
      </c>
      <c r="N13" s="61"/>
      <c r="O13" s="61"/>
      <c r="P13" s="61"/>
      <c r="Q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f aca="false">(E14/$E$29)*$K$11</f>
        <v>0.0140000000011545</v>
      </c>
      <c r="N14" s="61"/>
      <c r="O14" s="61"/>
      <c r="P14" s="61"/>
      <c r="Q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f aca="false">(E15/$E$29)*$K$11</f>
        <v>6099.50833333333</v>
      </c>
      <c r="N15" s="61"/>
      <c r="O15" s="61"/>
      <c r="P15" s="61"/>
      <c r="Q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f aca="false">(E16/$E$29)*$K$11</f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N16" s="61"/>
      <c r="O16" s="61"/>
      <c r="P16" s="61"/>
      <c r="Q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f aca="false">(E17/$E$29)*$K$11</f>
        <v>344.166666666667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N17" s="61"/>
      <c r="O17" s="61"/>
      <c r="P17" s="61"/>
      <c r="Q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f aca="false">(E18/$E$29)*$K$11</f>
        <v>6250.70366666667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Q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v>15000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Q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f aca="false">(E20/$E$29)*$K$11</f>
        <v>0.933333333333333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Q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f aca="false">(E21/$E$29)*$K$11</f>
        <v>7921.01974999999</v>
      </c>
      <c r="I21" s="43" t="s">
        <v>127</v>
      </c>
      <c r="J21" s="43" t="n">
        <v>60500</v>
      </c>
      <c r="K21" s="43" t="n">
        <v>0</v>
      </c>
      <c r="L21" s="43" t="n">
        <f aca="false">J21*K21</f>
        <v>0</v>
      </c>
      <c r="P21" s="21"/>
      <c r="Q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0</v>
      </c>
      <c r="L22" s="43" t="n">
        <f aca="false">J22*K22</f>
        <v>0</v>
      </c>
      <c r="P22" s="21"/>
      <c r="Q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1702833.662</v>
      </c>
      <c r="I23" s="43" t="s">
        <v>133</v>
      </c>
      <c r="J23" s="43" t="n">
        <v>110000</v>
      </c>
      <c r="K23" s="43" t="n">
        <f aca="false">2+1</f>
        <v>3</v>
      </c>
      <c r="L23" s="43" t="n">
        <f aca="false">J23*K23</f>
        <v>330000</v>
      </c>
      <c r="P23" s="21"/>
      <c r="Q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f aca="false">1+2</f>
        <v>3</v>
      </c>
      <c r="L24" s="43" t="n">
        <f aca="false">J24*K24</f>
        <v>429000</v>
      </c>
      <c r="P24" s="21"/>
      <c r="Q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1" t="n">
        <f aca="false">+K16+K17+K18+K19+K20+K23+K24+K25+K26+K27</f>
        <v>7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P25" s="21"/>
      <c r="Q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1</v>
      </c>
      <c r="L26" s="43" t="n">
        <f aca="false">J26*K26</f>
        <v>198000</v>
      </c>
      <c r="P26" s="21"/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1" t="n">
        <f aca="false">+K21+K22</f>
        <v>0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P27" s="21"/>
      <c r="Q27" s="58"/>
    </row>
    <row r="28" customFormat="false" ht="12.75" hidden="false" customHeight="false" outlineLevel="0" collapsed="false">
      <c r="K28" s="43" t="n">
        <f aca="false">SUM(K16:K27)</f>
        <v>7</v>
      </c>
      <c r="L28" s="43" t="n">
        <f aca="false">SUM(L16:L27)*1.2</f>
        <v>1148400</v>
      </c>
      <c r="P28" s="21"/>
      <c r="Q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7</v>
      </c>
      <c r="L29" s="72" t="n">
        <v>0.2</v>
      </c>
      <c r="P29" s="21"/>
      <c r="Q29" s="58"/>
    </row>
    <row r="30" customFormat="false" ht="12.75" hidden="true" customHeight="false" outlineLevel="0" collapsed="false">
      <c r="L30" s="43" t="n">
        <f aca="false">L28*1.2</f>
        <v>1378080</v>
      </c>
      <c r="P30" s="21"/>
      <c r="Q30" s="21"/>
    </row>
    <row r="31" customFormat="false" ht="12.75" hidden="true" customHeight="false" outlineLevel="0" collapsed="false">
      <c r="H31" s="16" t="s">
        <v>140</v>
      </c>
      <c r="L31" s="0"/>
      <c r="P31" s="21"/>
      <c r="Q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P32" s="21"/>
      <c r="Q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P33" s="21"/>
      <c r="Q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7</v>
      </c>
      <c r="L34" s="74" t="n">
        <f aca="false">+J34*K34</f>
        <v>337891.26875</v>
      </c>
      <c r="P34" s="21"/>
      <c r="Q34" s="21"/>
    </row>
    <row r="35" customFormat="false" ht="12.75" hidden="true" customHeight="false" outlineLevel="0" collapsed="false">
      <c r="P35" s="21"/>
      <c r="Q35" s="21"/>
    </row>
    <row r="36" customFormat="false" ht="12.75" hidden="true" customHeight="false" outlineLevel="0" collapsed="false">
      <c r="P36" s="21"/>
      <c r="Q36" s="21"/>
    </row>
    <row r="37" customFormat="false" ht="12.75" hidden="true" customHeight="false" outlineLevel="0" collapsed="false">
      <c r="P37" s="21"/>
      <c r="Q37" s="21"/>
    </row>
    <row r="38" customFormat="false" ht="12.75" hidden="true" customHeight="false" outlineLevel="0" collapsed="false">
      <c r="P38" s="21"/>
      <c r="Q38" s="21"/>
    </row>
    <row r="39" customFormat="false" ht="12.75" hidden="false" customHeight="false" outlineLevel="0" collapsed="false">
      <c r="P39" s="21"/>
      <c r="Q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false" outlineLevel="0" max="13" min="13" style="0" width="10.28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4" t="str">
        <f aca="false">'[3]Team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165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  <c r="N5" s="76" t="s">
        <v>148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N6" s="54" t="s">
        <v>90</v>
      </c>
      <c r="Q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N7" s="55" t="s">
        <v>94</v>
      </c>
      <c r="Q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v>905850</v>
      </c>
      <c r="I8" s="52" t="s">
        <v>96</v>
      </c>
      <c r="J8" s="43" t="n">
        <v>0</v>
      </c>
      <c r="L8" s="53" t="n">
        <f aca="false">L30</f>
        <v>1449360</v>
      </c>
      <c r="M8" s="78"/>
      <c r="N8" s="58" t="n">
        <f aca="false">H8/2*1.5</f>
        <v>679387.5</v>
      </c>
      <c r="Q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58" t="n">
        <v>0</v>
      </c>
      <c r="G9" s="59" t="n">
        <f aca="false">E9/$E$23</f>
        <v>0</v>
      </c>
      <c r="H9" s="58"/>
      <c r="I9" s="52"/>
      <c r="L9" s="53"/>
      <c r="N9" s="58"/>
      <c r="Q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58"/>
      <c r="E10" s="58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59" t="n">
        <f aca="false">E10/$E$23</f>
        <v>0.00377976191391553</v>
      </c>
      <c r="H10" s="58" t="n">
        <v>0</v>
      </c>
      <c r="I10" s="52"/>
      <c r="L10" s="53"/>
      <c r="N10" s="58" t="n">
        <v>0</v>
      </c>
      <c r="Q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v>181170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7</v>
      </c>
      <c r="L11" s="53" t="n">
        <f aca="false">J11*K11</f>
        <v>337891.26875</v>
      </c>
      <c r="N11" s="58" t="n">
        <f aca="false">H11/2*1.5</f>
        <v>135877.5</v>
      </c>
      <c r="Q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v>65000</v>
      </c>
      <c r="I12" s="52"/>
      <c r="L12" s="53"/>
      <c r="N12" s="58" t="n">
        <v>65000</v>
      </c>
      <c r="Q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v>250000</v>
      </c>
      <c r="I13" s="63" t="s">
        <v>105</v>
      </c>
      <c r="J13" s="64"/>
      <c r="K13" s="64"/>
      <c r="L13" s="65" t="n">
        <f aca="false">L8+L11</f>
        <v>1787251.26875</v>
      </c>
      <c r="N13" s="58" t="n">
        <v>250000</v>
      </c>
      <c r="P13" s="60"/>
      <c r="Q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v>0</v>
      </c>
      <c r="N14" s="58" t="n">
        <v>0</v>
      </c>
      <c r="Q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v>15858</v>
      </c>
      <c r="N15" s="58" t="n">
        <f aca="false">20000-4142</f>
        <v>15858</v>
      </c>
      <c r="Q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N16" s="58" t="n">
        <v>0</v>
      </c>
      <c r="Q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v>0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N17" s="58" t="n">
        <v>0</v>
      </c>
      <c r="Q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v>100000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N18" s="58" t="n">
        <v>100000</v>
      </c>
      <c r="Q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v>30000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N19" s="58" t="n">
        <v>30000</v>
      </c>
      <c r="Q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v>1</v>
      </c>
      <c r="I20" s="43" t="s">
        <v>124</v>
      </c>
      <c r="J20" s="43" t="n">
        <v>71500</v>
      </c>
      <c r="K20" s="43" t="n">
        <v>1</v>
      </c>
      <c r="L20" s="43" t="n">
        <f aca="false">J20*K20</f>
        <v>71500</v>
      </c>
      <c r="N20" s="58" t="n">
        <v>1</v>
      </c>
      <c r="Q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v>10000</v>
      </c>
      <c r="I21" s="43" t="s">
        <v>127</v>
      </c>
      <c r="J21" s="43" t="n">
        <v>60500</v>
      </c>
      <c r="K21" s="43" t="n">
        <v>0</v>
      </c>
      <c r="L21" s="43" t="n">
        <f aca="false">J21*K21</f>
        <v>0</v>
      </c>
      <c r="N21" s="58" t="n">
        <v>10000</v>
      </c>
      <c r="P21" s="21"/>
      <c r="Q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0</v>
      </c>
      <c r="L22" s="43" t="n">
        <f aca="false">J22*K22</f>
        <v>0</v>
      </c>
      <c r="N22" s="58" t="n">
        <v>0</v>
      </c>
      <c r="P22" s="21"/>
      <c r="Q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1557879</v>
      </c>
      <c r="I23" s="43" t="s">
        <v>133</v>
      </c>
      <c r="J23" s="43" t="n">
        <v>110000</v>
      </c>
      <c r="K23" s="43" t="n">
        <v>1</v>
      </c>
      <c r="L23" s="43" t="n">
        <f aca="false">J23*K23</f>
        <v>110000</v>
      </c>
      <c r="N23" s="68" t="n">
        <f aca="false">SUM(N8:N22)</f>
        <v>1286124</v>
      </c>
      <c r="P23" s="21"/>
      <c r="Q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f aca="false">1+1+1</f>
        <v>3</v>
      </c>
      <c r="L24" s="43" t="n">
        <f aca="false">J24*K24</f>
        <v>429000</v>
      </c>
      <c r="P24" s="21"/>
      <c r="Q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1" t="n">
        <f aca="false">+K16+K17+K18+K19+K20+K23+K24+K25+K26+K27</f>
        <v>7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P25" s="21"/>
      <c r="Q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f aca="false">1+1</f>
        <v>2</v>
      </c>
      <c r="L26" s="43" t="n">
        <f aca="false">J26*K26</f>
        <v>396000</v>
      </c>
      <c r="P26" s="21"/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1" t="n">
        <f aca="false">+K21+K22</f>
        <v>0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P27" s="21"/>
      <c r="Q27" s="58"/>
    </row>
    <row r="28" customFormat="false" ht="12.75" hidden="false" customHeight="false" outlineLevel="0" collapsed="false">
      <c r="K28" s="43" t="n">
        <f aca="false">SUM(K16:K27)</f>
        <v>7</v>
      </c>
      <c r="L28" s="43" t="n">
        <f aca="false">SUM(L16:L27)*1.2</f>
        <v>1207800</v>
      </c>
      <c r="P28" s="21"/>
      <c r="Q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7</v>
      </c>
      <c r="L29" s="72" t="n">
        <v>0.2</v>
      </c>
      <c r="P29" s="21"/>
      <c r="Q29" s="58"/>
    </row>
    <row r="30" customFormat="false" ht="12.75" hidden="true" customHeight="false" outlineLevel="0" collapsed="false">
      <c r="L30" s="43" t="n">
        <f aca="false">L28*1.2</f>
        <v>1449360</v>
      </c>
      <c r="P30" s="21"/>
      <c r="Q30" s="21"/>
    </row>
    <row r="31" customFormat="false" ht="12.75" hidden="true" customHeight="false" outlineLevel="0" collapsed="false">
      <c r="H31" s="16" t="s">
        <v>140</v>
      </c>
      <c r="L31" s="0"/>
      <c r="P31" s="21"/>
      <c r="Q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P32" s="21"/>
      <c r="Q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P33" s="21"/>
      <c r="Q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7</v>
      </c>
      <c r="L34" s="74" t="n">
        <f aca="false">+J34*K34</f>
        <v>337891.26875</v>
      </c>
      <c r="P34" s="21"/>
      <c r="Q34" s="21"/>
    </row>
    <row r="35" customFormat="false" ht="12.75" hidden="true" customHeight="false" outlineLevel="0" collapsed="false">
      <c r="P35" s="21"/>
      <c r="Q35" s="21"/>
    </row>
    <row r="36" customFormat="false" ht="12.75" hidden="true" customHeight="false" outlineLevel="0" collapsed="false">
      <c r="P36" s="21"/>
      <c r="Q36" s="21"/>
    </row>
    <row r="37" customFormat="false" ht="12.75" hidden="true" customHeight="false" outlineLevel="0" collapsed="false">
      <c r="P37" s="21"/>
      <c r="Q37" s="21"/>
    </row>
    <row r="38" customFormat="false" ht="12.75" hidden="true" customHeight="false" outlineLevel="0" collapsed="false">
      <c r="P38" s="21"/>
      <c r="Q38" s="21"/>
    </row>
    <row r="39" customFormat="false" ht="12.75" hidden="false" customHeight="false" outlineLevel="0" collapsed="false">
      <c r="P39" s="21"/>
      <c r="Q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21.13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8.14"/>
    <col collapsed="false" customWidth="false" hidden="true" outlineLevel="0" max="13" min="13" style="0" width="9.06"/>
    <col collapsed="false" customWidth="true" hidden="false" outlineLevel="0" max="14" min="14" style="0" width="9.7"/>
    <col collapsed="false" customWidth="true" hidden="false" outlineLevel="0" max="15" min="15" style="0" width="10.28"/>
    <col collapsed="false" customWidth="true" hidden="false" outlineLevel="0" max="16" min="16" style="0" width="10.71"/>
  </cols>
  <sheetData>
    <row r="1" customFormat="false" ht="18" hidden="false" customHeight="false" outlineLevel="0" collapsed="false">
      <c r="B1" s="44" t="str">
        <f aca="false">'[3]Team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customFormat="false" ht="18" hidden="false" customHeight="false" outlineLevel="0" collapsed="false">
      <c r="B2" s="44" t="s">
        <v>166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P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P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v>1222275</v>
      </c>
      <c r="I8" s="52" t="s">
        <v>96</v>
      </c>
      <c r="J8" s="43" t="n">
        <v>0</v>
      </c>
      <c r="L8" s="53" t="n">
        <f aca="false">L30</f>
        <v>1956240</v>
      </c>
      <c r="P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58" t="n">
        <v>0</v>
      </c>
      <c r="G9" s="59" t="n">
        <f aca="false">E9/$E$23</f>
        <v>0</v>
      </c>
      <c r="H9" s="58"/>
      <c r="I9" s="52"/>
      <c r="L9" s="53"/>
      <c r="P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58"/>
      <c r="E10" s="58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59" t="n">
        <f aca="false">E10/$E$23</f>
        <v>0.00377976191391553</v>
      </c>
      <c r="H10" s="58" t="n">
        <v>0</v>
      </c>
      <c r="I10" s="52"/>
      <c r="L10" s="53"/>
      <c r="P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+H8*0.2+6345</f>
        <v>250800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10</v>
      </c>
      <c r="L11" s="53" t="n">
        <f aca="false">J11*K11</f>
        <v>482701.8125</v>
      </c>
      <c r="P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v>67500</v>
      </c>
      <c r="I12" s="52"/>
      <c r="L12" s="53"/>
      <c r="P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v>225000</v>
      </c>
      <c r="I13" s="63" t="s">
        <v>105</v>
      </c>
      <c r="J13" s="64"/>
      <c r="K13" s="64"/>
      <c r="L13" s="65" t="n">
        <f aca="false">L8+L11</f>
        <v>2438941.8125</v>
      </c>
      <c r="O13" s="60"/>
      <c r="P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v>0</v>
      </c>
      <c r="P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v>45000</v>
      </c>
      <c r="P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P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v>531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P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v>67500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P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v>90000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P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v>1.8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P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v>13500</v>
      </c>
      <c r="I21" s="43" t="s">
        <v>127</v>
      </c>
      <c r="J21" s="43" t="n">
        <v>60500</v>
      </c>
      <c r="K21" s="43" t="n">
        <v>1</v>
      </c>
      <c r="L21" s="43" t="n">
        <f aca="false">J21*K21</f>
        <v>60500</v>
      </c>
      <c r="O21" s="21"/>
      <c r="P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0</v>
      </c>
      <c r="L22" s="43" t="n">
        <f aca="false">J22*K22</f>
        <v>0</v>
      </c>
      <c r="O22" s="21"/>
      <c r="P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1982107.8</v>
      </c>
      <c r="I23" s="43" t="s">
        <v>133</v>
      </c>
      <c r="J23" s="43" t="n">
        <v>110000</v>
      </c>
      <c r="K23" s="43" t="n">
        <f aca="false">2+1</f>
        <v>3</v>
      </c>
      <c r="L23" s="43" t="n">
        <f aca="false">J23*K23</f>
        <v>330000</v>
      </c>
      <c r="O23" s="21"/>
      <c r="P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f aca="false">2+1+1</f>
        <v>4</v>
      </c>
      <c r="L24" s="43" t="n">
        <f aca="false">J24*K24</f>
        <v>572000</v>
      </c>
      <c r="O24" s="21"/>
      <c r="P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1" t="n">
        <v>9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O25" s="21"/>
      <c r="P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2</v>
      </c>
      <c r="L26" s="43" t="n">
        <f aca="false">J26*K26</f>
        <v>396000</v>
      </c>
      <c r="O26" s="21"/>
      <c r="P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1" t="n">
        <v>0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O27" s="21"/>
      <c r="P27" s="58"/>
    </row>
    <row r="28" customFormat="false" ht="12.75" hidden="false" customHeight="false" outlineLevel="0" collapsed="false">
      <c r="K28" s="43" t="n">
        <f aca="false">SUM(K16:K27)</f>
        <v>10</v>
      </c>
      <c r="L28" s="43" t="n">
        <f aca="false">SUM(L16:L27)*1.2</f>
        <v>1630200</v>
      </c>
      <c r="O28" s="21"/>
      <c r="P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9</v>
      </c>
      <c r="L29" s="72" t="n">
        <v>0.2</v>
      </c>
      <c r="O29" s="21"/>
      <c r="P29" s="58"/>
    </row>
    <row r="30" customFormat="false" ht="12.75" hidden="true" customHeight="false" outlineLevel="0" collapsed="false">
      <c r="L30" s="43" t="n">
        <f aca="false">L28*1.2</f>
        <v>1956240</v>
      </c>
      <c r="O30" s="21"/>
      <c r="P30" s="21"/>
    </row>
    <row r="31" customFormat="false" ht="12.75" hidden="true" customHeight="false" outlineLevel="0" collapsed="false">
      <c r="H31" s="16" t="s">
        <v>140</v>
      </c>
      <c r="L31" s="0"/>
      <c r="O31" s="21"/>
      <c r="P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O32" s="21"/>
      <c r="P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O33" s="21"/>
      <c r="P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10</v>
      </c>
      <c r="L34" s="74" t="n">
        <f aca="false">+J34*K34</f>
        <v>482701.8125</v>
      </c>
      <c r="O34" s="21"/>
      <c r="P34" s="21"/>
    </row>
    <row r="35" customFormat="false" ht="12.75" hidden="true" customHeight="false" outlineLevel="0" collapsed="false">
      <c r="O35" s="21"/>
      <c r="P35" s="21"/>
    </row>
    <row r="36" customFormat="false" ht="12.75" hidden="true" customHeight="false" outlineLevel="0" collapsed="false">
      <c r="O36" s="21"/>
      <c r="P36" s="21"/>
    </row>
    <row r="37" customFormat="false" ht="12.75" hidden="true" customHeight="false" outlineLevel="0" collapsed="false">
      <c r="O37" s="21"/>
      <c r="P37" s="21"/>
    </row>
    <row r="38" customFormat="false" ht="12.75" hidden="true" customHeight="false" outlineLevel="0" collapsed="false">
      <c r="O38" s="21"/>
      <c r="P38" s="21"/>
    </row>
    <row r="39" customFormat="false" ht="12.75" hidden="false" customHeight="false" outlineLevel="0" collapsed="false">
      <c r="O39" s="21"/>
      <c r="P39" s="21"/>
    </row>
    <row r="42" customFormat="false" ht="12.75" hidden="false" customHeight="false" outlineLevel="0" collapsed="false">
      <c r="B42" s="61"/>
      <c r="C42" s="61"/>
      <c r="D42" s="61"/>
    </row>
    <row r="43" customFormat="false" ht="12.75" hidden="false" customHeight="false" outlineLevel="0" collapsed="false">
      <c r="B43" s="61"/>
      <c r="C43" s="61"/>
      <c r="D43" s="61"/>
    </row>
    <row r="44" customFormat="false" ht="12.75" hidden="false" customHeight="false" outlineLevel="0" collapsed="false">
      <c r="B44" s="61"/>
      <c r="C44" s="61"/>
      <c r="D44" s="61"/>
    </row>
    <row r="45" customFormat="false" ht="12.75" hidden="false" customHeight="false" outlineLevel="0" collapsed="false">
      <c r="B45" s="61"/>
      <c r="C45" s="61"/>
      <c r="D45" s="61"/>
    </row>
    <row r="46" customFormat="false" ht="12.75" hidden="false" customHeight="false" outlineLevel="0" collapsed="false">
      <c r="B46" s="61"/>
      <c r="C46" s="61"/>
      <c r="D46" s="61"/>
    </row>
    <row r="47" customFormat="false" ht="12.75" hidden="false" customHeight="false" outlineLevel="0" collapsed="false">
      <c r="B47" s="61"/>
      <c r="C47" s="61"/>
      <c r="D47" s="61"/>
    </row>
    <row r="48" customFormat="false" ht="12.75" hidden="false" customHeight="false" outlineLevel="0" collapsed="false">
      <c r="B48" s="61"/>
      <c r="C48" s="61"/>
      <c r="D48" s="61"/>
    </row>
    <row r="49" customFormat="false" ht="12.75" hidden="false" customHeight="false" outlineLevel="0" collapsed="false">
      <c r="B49" s="61"/>
      <c r="C49" s="61"/>
      <c r="D49" s="61"/>
    </row>
    <row r="50" customFormat="false" ht="12.75" hidden="false" customHeight="false" outlineLevel="0" collapsed="false">
      <c r="B50" s="7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false" outlineLevel="0" max="15" min="15" style="0" width="10.28"/>
    <col collapsed="false" customWidth="true" hidden="false" outlineLevel="0" max="16" min="16" style="0" width="10.71"/>
  </cols>
  <sheetData>
    <row r="1" customFormat="false" ht="18" hidden="false" customHeight="false" outlineLevel="0" collapsed="false">
      <c r="B1" s="44" t="str">
        <f aca="false">'[3]Team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customFormat="false" ht="18" hidden="false" customHeight="false" outlineLevel="0" collapsed="false">
      <c r="B2" s="44" t="s">
        <v>22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P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P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v>234685</v>
      </c>
      <c r="I8" s="52" t="s">
        <v>96</v>
      </c>
      <c r="J8" s="43" t="n">
        <v>0</v>
      </c>
      <c r="L8" s="53" t="n">
        <f aca="false">L30</f>
        <v>364320</v>
      </c>
      <c r="P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58" t="n">
        <v>0</v>
      </c>
      <c r="G9" s="59" t="n">
        <f aca="false">E9/$E$23</f>
        <v>0</v>
      </c>
      <c r="H9" s="58"/>
      <c r="I9" s="52"/>
      <c r="L9" s="53"/>
      <c r="P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58"/>
      <c r="E10" s="58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59" t="n">
        <f aca="false">E10/$E$23</f>
        <v>0.00377976191391553</v>
      </c>
      <c r="H10" s="58" t="n">
        <v>0</v>
      </c>
      <c r="I10" s="52"/>
      <c r="L10" s="53"/>
      <c r="P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v>45540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2</v>
      </c>
      <c r="L11" s="53" t="n">
        <f aca="false">J11*K11</f>
        <v>96540.3625</v>
      </c>
      <c r="P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v>15000</v>
      </c>
      <c r="I12" s="52"/>
      <c r="L12" s="53"/>
      <c r="P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v>50000</v>
      </c>
      <c r="I13" s="63" t="s">
        <v>105</v>
      </c>
      <c r="J13" s="64"/>
      <c r="K13" s="64"/>
      <c r="L13" s="65" t="n">
        <f aca="false">L8+L11</f>
        <v>460860.3625</v>
      </c>
      <c r="O13" s="60"/>
      <c r="P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v>0</v>
      </c>
      <c r="P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v>5000</v>
      </c>
      <c r="P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P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v>98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P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v>25000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P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v>15000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P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v>2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P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v>5000</v>
      </c>
      <c r="I21" s="43" t="s">
        <v>127</v>
      </c>
      <c r="J21" s="43" t="n">
        <v>60500</v>
      </c>
      <c r="K21" s="43" t="n">
        <v>0</v>
      </c>
      <c r="L21" s="43" t="n">
        <f aca="false">J21*K21</f>
        <v>0</v>
      </c>
      <c r="O21" s="21"/>
      <c r="P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0</v>
      </c>
      <c r="L22" s="43" t="n">
        <f aca="false">J22*K22</f>
        <v>0</v>
      </c>
      <c r="O22" s="21"/>
      <c r="P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395325</v>
      </c>
      <c r="I23" s="43" t="s">
        <v>133</v>
      </c>
      <c r="J23" s="43" t="n">
        <v>110000</v>
      </c>
      <c r="K23" s="43" t="n">
        <v>1</v>
      </c>
      <c r="L23" s="43" t="n">
        <f aca="false">J23*K23</f>
        <v>110000</v>
      </c>
      <c r="O23" s="21"/>
      <c r="P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1</v>
      </c>
      <c r="L24" s="43" t="n">
        <f aca="false">J24*K24</f>
        <v>143000</v>
      </c>
      <c r="O24" s="21"/>
      <c r="P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1" t="n">
        <f aca="false">+K16+K17+K18+K19+K20+K23+K24+K25+K26+K27</f>
        <v>2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O25" s="21"/>
      <c r="P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0</v>
      </c>
      <c r="L26" s="43" t="n">
        <f aca="false">J26*K26</f>
        <v>0</v>
      </c>
      <c r="O26" s="21"/>
      <c r="P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1" t="n">
        <f aca="false">+K21+K22</f>
        <v>0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O27" s="21"/>
      <c r="P27" s="58"/>
    </row>
    <row r="28" customFormat="false" ht="12.75" hidden="false" customHeight="false" outlineLevel="0" collapsed="false">
      <c r="K28" s="43" t="n">
        <f aca="false">SUM(K16:K27)</f>
        <v>2</v>
      </c>
      <c r="L28" s="43" t="n">
        <f aca="false">SUM(L16:L27)*1.2</f>
        <v>303600</v>
      </c>
      <c r="O28" s="21"/>
      <c r="P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2</v>
      </c>
      <c r="L29" s="72" t="n">
        <v>0.2</v>
      </c>
      <c r="O29" s="21"/>
      <c r="P29" s="58"/>
    </row>
    <row r="30" customFormat="false" ht="12.75" hidden="true" customHeight="false" outlineLevel="0" collapsed="false">
      <c r="L30" s="43" t="n">
        <f aca="false">L28*1.2</f>
        <v>364320</v>
      </c>
      <c r="O30" s="21"/>
      <c r="P30" s="21"/>
    </row>
    <row r="31" customFormat="false" ht="12.75" hidden="true" customHeight="false" outlineLevel="0" collapsed="false">
      <c r="H31" s="16" t="s">
        <v>140</v>
      </c>
      <c r="L31" s="0"/>
      <c r="O31" s="21"/>
      <c r="P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O32" s="21"/>
      <c r="P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O33" s="21"/>
      <c r="P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2</v>
      </c>
      <c r="L34" s="74" t="n">
        <f aca="false">+J34*K34</f>
        <v>96540.3625</v>
      </c>
      <c r="O34" s="21"/>
      <c r="P34" s="21"/>
    </row>
    <row r="35" customFormat="false" ht="12.75" hidden="true" customHeight="false" outlineLevel="0" collapsed="false">
      <c r="O35" s="21"/>
      <c r="P35" s="21"/>
    </row>
    <row r="36" customFormat="false" ht="12.75" hidden="true" customHeight="false" outlineLevel="0" collapsed="false">
      <c r="O36" s="21"/>
      <c r="P36" s="21"/>
    </row>
    <row r="37" customFormat="false" ht="12.75" hidden="true" customHeight="false" outlineLevel="0" collapsed="false">
      <c r="O37" s="21"/>
      <c r="P37" s="21"/>
    </row>
    <row r="38" customFormat="false" ht="12.75" hidden="true" customHeight="false" outlineLevel="0" collapsed="false">
      <c r="O38" s="21"/>
      <c r="P38" s="21"/>
    </row>
    <row r="39" customFormat="false" ht="12.75" hidden="false" customHeight="false" outlineLevel="0" collapsed="false">
      <c r="O39" s="21"/>
      <c r="P39" s="21"/>
    </row>
    <row r="41" customFormat="false" ht="12.75" hidden="false" customHeight="false" outlineLevel="0" collapsed="false">
      <c r="B41" s="0" t="s">
        <v>167</v>
      </c>
      <c r="H41" s="0" t="s">
        <v>134</v>
      </c>
    </row>
    <row r="42" customFormat="false" ht="12.75" hidden="false" customHeight="false" outlineLevel="0" collapsed="false">
      <c r="B42" s="0" t="s">
        <v>168</v>
      </c>
      <c r="H42" s="0" t="s">
        <v>133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false" outlineLevel="0" max="14" min="14" style="0" width="13.99"/>
    <col collapsed="false" customWidth="true" hidden="false" outlineLevel="0" max="15" min="15" style="0" width="13.85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23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Q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Q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f aca="false">L28-H10</f>
        <v>321420</v>
      </c>
      <c r="I8" s="52" t="s">
        <v>96</v>
      </c>
      <c r="J8" s="43" t="n">
        <v>0</v>
      </c>
      <c r="L8" s="53" t="n">
        <f aca="false">L30</f>
        <v>492624</v>
      </c>
      <c r="Q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8" t="n">
        <v>0</v>
      </c>
      <c r="G9" s="59" t="n">
        <f aca="false">E9/$E$23</f>
        <v>0</v>
      </c>
      <c r="H9" s="58" t="n">
        <v>0</v>
      </c>
      <c r="I9" s="52"/>
      <c r="L9" s="53"/>
      <c r="Q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8"/>
      <c r="E10" s="58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9" t="n">
        <f aca="false">E10/$E$23</f>
        <v>0.00377976191391553</v>
      </c>
      <c r="H10" s="58" t="n">
        <f aca="false">L21+L22</f>
        <v>89100</v>
      </c>
      <c r="I10" s="52"/>
      <c r="L10" s="53"/>
      <c r="Q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L30-L28</f>
        <v>82104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3</v>
      </c>
      <c r="L11" s="53" t="n">
        <f aca="false">J11*K11</f>
        <v>144810.54375</v>
      </c>
      <c r="N11" s="61"/>
      <c r="O11" s="61"/>
      <c r="P11" s="61"/>
      <c r="Q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f aca="false">(E12/$E$29)*$K$11</f>
        <v>18487.42125</v>
      </c>
      <c r="I12" s="52"/>
      <c r="L12" s="53"/>
      <c r="N12" s="61"/>
      <c r="O12" s="61"/>
      <c r="P12" s="61"/>
      <c r="Q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f aca="false">(E13/$E$29)*$K$11</f>
        <v>16454.87075</v>
      </c>
      <c r="I13" s="63" t="s">
        <v>105</v>
      </c>
      <c r="J13" s="64"/>
      <c r="K13" s="64"/>
      <c r="L13" s="65" t="n">
        <f aca="false">L8+L11</f>
        <v>637434.54375</v>
      </c>
      <c r="N13" s="61"/>
      <c r="O13" s="61"/>
      <c r="P13" s="61"/>
      <c r="Q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f aca="false">(E14/$E$29)*$K$11</f>
        <v>0.00600000000049476</v>
      </c>
      <c r="Q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f aca="false">(E15/$E$29)*$K$11</f>
        <v>2614.075</v>
      </c>
      <c r="Q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f aca="false">(E16/$E$29)*$K$11</f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Q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f aca="false">(E17/$E$29)*$K$11</f>
        <v>147.5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Q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f aca="false">(E18/$E$29)*$K$11</f>
        <v>2678.873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Q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f aca="false">(E19/$E$29)*$K$11</f>
        <v>2730.258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Q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f aca="false">(E20/$E$29)*$K$11</f>
        <v>0.4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Q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f aca="false">(E21/$E$29)*$K$11</f>
        <v>3394.72275</v>
      </c>
      <c r="I21" s="43" t="s">
        <v>127</v>
      </c>
      <c r="J21" s="43" t="n">
        <v>60500</v>
      </c>
      <c r="K21" s="43" t="n">
        <v>0</v>
      </c>
      <c r="L21" s="43" t="n">
        <f aca="false">J21*K21</f>
        <v>0</v>
      </c>
      <c r="P21" s="21"/>
      <c r="Q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1</v>
      </c>
      <c r="L22" s="43" t="n">
        <f aca="false">J22*K22</f>
        <v>89100</v>
      </c>
      <c r="P22" s="21"/>
      <c r="Q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539132.12675</v>
      </c>
      <c r="I23" s="43" t="s">
        <v>133</v>
      </c>
      <c r="J23" s="43" t="n">
        <v>110000</v>
      </c>
      <c r="K23" s="43" t="n">
        <v>1</v>
      </c>
      <c r="L23" s="43" t="n">
        <f aca="false">J23*K23</f>
        <v>110000</v>
      </c>
      <c r="P23" s="21"/>
      <c r="Q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1</v>
      </c>
      <c r="L24" s="43" t="n">
        <f aca="false">J24*K24</f>
        <v>143000</v>
      </c>
      <c r="P24" s="21"/>
      <c r="Q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1" t="n">
        <f aca="false">+K16+K17+K18+K19+K20+K23+K24+K25+K26+K27</f>
        <v>2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P25" s="21"/>
      <c r="Q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0</v>
      </c>
      <c r="L26" s="43" t="n">
        <f aca="false">J26*K26</f>
        <v>0</v>
      </c>
      <c r="P26" s="21"/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1" t="n">
        <f aca="false">+K21+K22</f>
        <v>1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P27" s="21"/>
      <c r="Q27" s="58"/>
    </row>
    <row r="28" customFormat="false" ht="12.75" hidden="false" customHeight="false" outlineLevel="0" collapsed="false">
      <c r="K28" s="43" t="n">
        <f aca="false">SUM(K16:K27)</f>
        <v>3</v>
      </c>
      <c r="L28" s="43" t="n">
        <f aca="false">SUM(L16:L27)*1.2</f>
        <v>410520</v>
      </c>
      <c r="P28" s="21"/>
      <c r="Q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3</v>
      </c>
      <c r="L29" s="72" t="n">
        <v>0.2</v>
      </c>
      <c r="P29" s="21"/>
      <c r="Q29" s="58"/>
    </row>
    <row r="30" customFormat="false" ht="12.75" hidden="true" customHeight="false" outlineLevel="0" collapsed="false">
      <c r="L30" s="43" t="n">
        <f aca="false">L28*1.2</f>
        <v>492624</v>
      </c>
      <c r="P30" s="21"/>
      <c r="Q30" s="21"/>
    </row>
    <row r="31" customFormat="false" ht="12.75" hidden="true" customHeight="false" outlineLevel="0" collapsed="false">
      <c r="H31" s="16" t="s">
        <v>140</v>
      </c>
      <c r="L31" s="0"/>
      <c r="P31" s="21"/>
      <c r="Q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P32" s="21"/>
      <c r="Q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P33" s="21"/>
      <c r="Q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3</v>
      </c>
      <c r="L34" s="74" t="n">
        <f aca="false">+J34*K34</f>
        <v>144810.54375</v>
      </c>
      <c r="P34" s="21"/>
      <c r="Q34" s="21"/>
    </row>
    <row r="35" customFormat="false" ht="12.75" hidden="true" customHeight="false" outlineLevel="0" collapsed="false">
      <c r="P35" s="21"/>
      <c r="Q35" s="21"/>
    </row>
    <row r="36" customFormat="false" ht="12.75" hidden="true" customHeight="false" outlineLevel="0" collapsed="false">
      <c r="P36" s="21"/>
      <c r="Q36" s="21"/>
    </row>
    <row r="37" customFormat="false" ht="12.75" hidden="true" customHeight="false" outlineLevel="0" collapsed="false">
      <c r="P37" s="21"/>
      <c r="Q37" s="21"/>
    </row>
    <row r="38" customFormat="false" ht="12.75" hidden="true" customHeight="false" outlineLevel="0" collapsed="false">
      <c r="P38" s="21"/>
      <c r="Q38" s="21"/>
    </row>
    <row r="39" customFormat="false" ht="12.75" hidden="false" customHeight="false" outlineLevel="0" collapsed="false">
      <c r="P39" s="21"/>
      <c r="Q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7.7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false" outlineLevel="0" max="15" min="15" style="0" width="10.71"/>
  </cols>
  <sheetData>
    <row r="1" customFormat="false" ht="18" hidden="false" customHeight="false" outlineLevel="0" collapsed="false">
      <c r="B1" s="44" t="str">
        <f aca="false">'[3]Team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</row>
    <row r="2" customFormat="false" ht="18" hidden="false" customHeight="false" outlineLevel="0" collapsed="false">
      <c r="B2" s="44" t="s">
        <v>169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O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O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v>0</v>
      </c>
      <c r="I8" s="52" t="s">
        <v>96</v>
      </c>
      <c r="J8" s="43" t="n">
        <v>0</v>
      </c>
      <c r="L8" s="53" t="n">
        <f aca="false">L30</f>
        <v>1512720</v>
      </c>
      <c r="O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58" t="n">
        <v>0</v>
      </c>
      <c r="G9" s="59" t="n">
        <f aca="false">E9/$E$23</f>
        <v>0</v>
      </c>
      <c r="H9" s="58"/>
      <c r="I9" s="52"/>
      <c r="L9" s="53"/>
      <c r="O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58"/>
      <c r="E10" s="58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59" t="n">
        <f aca="false">E10/$E$23</f>
        <v>0.00377976191391553</v>
      </c>
      <c r="H10" s="58" t="n">
        <v>75000</v>
      </c>
      <c r="I10" s="52"/>
      <c r="L10" s="53"/>
      <c r="O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+H10*0.2</f>
        <v>15000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8</v>
      </c>
      <c r="L11" s="53" t="n">
        <f aca="false">J11*K11</f>
        <v>386161.45</v>
      </c>
      <c r="O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v>3125</v>
      </c>
      <c r="I12" s="52"/>
      <c r="L12" s="53"/>
      <c r="O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v>3125</v>
      </c>
      <c r="I13" s="63" t="s">
        <v>105</v>
      </c>
      <c r="J13" s="64"/>
      <c r="K13" s="64"/>
      <c r="L13" s="65" t="n">
        <f aca="false">L8+L11</f>
        <v>1898881.45</v>
      </c>
      <c r="O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v>0</v>
      </c>
      <c r="O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v>2500</v>
      </c>
      <c r="O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O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v>62.5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O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v>0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O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v>12500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O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v>0.125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O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v>3125</v>
      </c>
      <c r="I21" s="43" t="s">
        <v>127</v>
      </c>
      <c r="J21" s="43" t="n">
        <v>60500</v>
      </c>
      <c r="K21" s="43" t="n">
        <v>1</v>
      </c>
      <c r="L21" s="43" t="n">
        <f aca="false">J21*K21</f>
        <v>60500</v>
      </c>
      <c r="O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0</v>
      </c>
      <c r="L22" s="43" t="n">
        <f aca="false">J22*K22</f>
        <v>0</v>
      </c>
      <c r="O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114437.625</v>
      </c>
      <c r="I23" s="43" t="s">
        <v>133</v>
      </c>
      <c r="J23" s="43" t="n">
        <v>110000</v>
      </c>
      <c r="K23" s="43" t="n">
        <v>2</v>
      </c>
      <c r="L23" s="43" t="n">
        <f aca="false">J23*K23</f>
        <v>220000</v>
      </c>
      <c r="O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4</v>
      </c>
      <c r="L24" s="43" t="n">
        <f aca="false">J24*K24</f>
        <v>572000</v>
      </c>
      <c r="O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1" t="n">
        <v>0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O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1</v>
      </c>
      <c r="L26" s="43" t="n">
        <f aca="false">J26*K26</f>
        <v>198000</v>
      </c>
      <c r="O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1" t="n">
        <f aca="false">+K21+K22</f>
        <v>1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O27" s="58"/>
    </row>
    <row r="28" customFormat="false" ht="12.75" hidden="false" customHeight="false" outlineLevel="0" collapsed="false">
      <c r="K28" s="43" t="n">
        <f aca="false">SUM(K16:K27)</f>
        <v>8</v>
      </c>
      <c r="L28" s="43" t="n">
        <f aca="false">SUM(L16:L27)*1.2</f>
        <v>1260600</v>
      </c>
      <c r="O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1</v>
      </c>
      <c r="L29" s="72" t="n">
        <v>0.2</v>
      </c>
      <c r="O29" s="58"/>
    </row>
    <row r="30" customFormat="false" ht="12.75" hidden="true" customHeight="false" outlineLevel="0" collapsed="false">
      <c r="L30" s="43" t="n">
        <f aca="false">L28*1.2</f>
        <v>1512720</v>
      </c>
      <c r="O30" s="21"/>
    </row>
    <row r="31" customFormat="false" ht="12.75" hidden="true" customHeight="false" outlineLevel="0" collapsed="false">
      <c r="H31" s="16" t="s">
        <v>140</v>
      </c>
      <c r="L31" s="0"/>
      <c r="O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O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O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8</v>
      </c>
      <c r="L34" s="74" t="n">
        <f aca="false">+J34*K34</f>
        <v>386161.45</v>
      </c>
      <c r="O34" s="21"/>
    </row>
    <row r="35" customFormat="false" ht="12.75" hidden="true" customHeight="false" outlineLevel="0" collapsed="false">
      <c r="O35" s="21"/>
    </row>
    <row r="36" customFormat="false" ht="12.75" hidden="true" customHeight="false" outlineLevel="0" collapsed="false">
      <c r="O36" s="21"/>
    </row>
    <row r="37" customFormat="false" ht="12.75" hidden="true" customHeight="false" outlineLevel="0" collapsed="false">
      <c r="O37" s="21"/>
    </row>
    <row r="38" customFormat="false" ht="12.75" hidden="true" customHeight="false" outlineLevel="0" collapsed="false">
      <c r="O38" s="21"/>
    </row>
    <row r="39" customFormat="false" ht="12.75" hidden="false" customHeight="false" outlineLevel="0" collapsed="false">
      <c r="O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9.7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4" t="str">
        <f aca="false">'[3]Team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170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  <c r="N5" s="76" t="s">
        <v>148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N6" s="54" t="s">
        <v>90</v>
      </c>
      <c r="Q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N7" s="55" t="s">
        <v>94</v>
      </c>
      <c r="Q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v>0</v>
      </c>
      <c r="I8" s="52" t="s">
        <v>96</v>
      </c>
      <c r="J8" s="43" t="n">
        <v>0</v>
      </c>
      <c r="L8" s="53" t="n">
        <f aca="false">L30</f>
        <v>1507968</v>
      </c>
      <c r="N8" s="58" t="n">
        <f aca="false">H8/2*1.5+75670+10715</f>
        <v>86385</v>
      </c>
      <c r="Q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58" t="n">
        <v>0</v>
      </c>
      <c r="G9" s="59" t="n">
        <f aca="false">E9/$E$23</f>
        <v>0</v>
      </c>
      <c r="H9" s="58"/>
      <c r="I9" s="52"/>
      <c r="L9" s="53"/>
      <c r="N9" s="58"/>
      <c r="Q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58"/>
      <c r="E10" s="58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59" t="n">
        <f aca="false">E10/$E$23</f>
        <v>0.00377976191391553</v>
      </c>
      <c r="H10" s="58" t="n">
        <v>420200</v>
      </c>
      <c r="I10" s="52"/>
      <c r="L10" s="53"/>
      <c r="N10" s="58" t="n">
        <v>420200</v>
      </c>
      <c r="Q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+H10*0.2</f>
        <v>84040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10</v>
      </c>
      <c r="L11" s="53" t="n">
        <f aca="false">J11*K11</f>
        <v>482701.8125</v>
      </c>
      <c r="N11" s="58" t="n">
        <f aca="false">H11/2*1.5+24992</f>
        <v>88022</v>
      </c>
      <c r="Q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v>45000</v>
      </c>
      <c r="I12" s="52"/>
      <c r="L12" s="53"/>
      <c r="N12" s="58" t="n">
        <v>75000</v>
      </c>
      <c r="Q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v>45000</v>
      </c>
      <c r="I13" s="63" t="s">
        <v>105</v>
      </c>
      <c r="J13" s="64"/>
      <c r="K13" s="64"/>
      <c r="L13" s="65" t="n">
        <f aca="false">L8+L11</f>
        <v>1990669.8125</v>
      </c>
      <c r="N13" s="58" t="n">
        <v>75000</v>
      </c>
      <c r="P13" s="60"/>
      <c r="Q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v>0</v>
      </c>
      <c r="N14" s="58" t="n">
        <v>0</v>
      </c>
      <c r="Q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v>30000</v>
      </c>
      <c r="N15" s="58" t="n">
        <v>50000</v>
      </c>
      <c r="Q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N16" s="58" t="n">
        <v>0</v>
      </c>
      <c r="Q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v>354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N17" s="58" t="n">
        <v>590</v>
      </c>
      <c r="Q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v>0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N18" s="58" t="n">
        <v>0</v>
      </c>
      <c r="Q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v>60000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N19" s="58" t="n">
        <v>100000</v>
      </c>
      <c r="Q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v>1.2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N20" s="58" t="n">
        <v>2</v>
      </c>
      <c r="Q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v>9000</v>
      </c>
      <c r="I21" s="43" t="s">
        <v>127</v>
      </c>
      <c r="J21" s="43" t="n">
        <v>60500</v>
      </c>
      <c r="K21" s="43" t="n">
        <v>4</v>
      </c>
      <c r="L21" s="43" t="n">
        <f aca="false">J21*K21</f>
        <v>242000</v>
      </c>
      <c r="N21" s="58" t="n">
        <v>15000</v>
      </c>
      <c r="P21" s="21"/>
      <c r="Q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2</v>
      </c>
      <c r="L22" s="43" t="n">
        <f aca="false">J22*K22</f>
        <v>178200</v>
      </c>
      <c r="N22" s="58" t="n">
        <v>0</v>
      </c>
      <c r="P22" s="21"/>
      <c r="Q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693595.2</v>
      </c>
      <c r="I23" s="43" t="s">
        <v>133</v>
      </c>
      <c r="J23" s="43" t="n">
        <v>110000</v>
      </c>
      <c r="K23" s="43" t="n">
        <v>0</v>
      </c>
      <c r="L23" s="43" t="n">
        <f aca="false">J23*K23</f>
        <v>0</v>
      </c>
      <c r="N23" s="68" t="n">
        <f aca="false">SUM(N8:N22)</f>
        <v>910199</v>
      </c>
      <c r="P23" s="21"/>
      <c r="Q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f aca="false">3</f>
        <v>3</v>
      </c>
      <c r="L24" s="43" t="n">
        <f aca="false">J24*K24</f>
        <v>429000</v>
      </c>
      <c r="P24" s="21"/>
      <c r="Q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1" t="n">
        <v>0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P25" s="21"/>
      <c r="Q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1</v>
      </c>
      <c r="L26" s="43" t="n">
        <f aca="false">J26*K26</f>
        <v>198000</v>
      </c>
      <c r="P26" s="21"/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1" t="n">
        <f aca="false">+K21+K22</f>
        <v>6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P27" s="21"/>
      <c r="Q27" s="58"/>
    </row>
    <row r="28" customFormat="false" ht="12.75" hidden="false" customHeight="false" outlineLevel="0" collapsed="false">
      <c r="K28" s="43" t="n">
        <f aca="false">SUM(K16:K27)</f>
        <v>10</v>
      </c>
      <c r="L28" s="43" t="n">
        <f aca="false">SUM(L16:L27)*1.2</f>
        <v>1256640</v>
      </c>
      <c r="P28" s="21"/>
      <c r="Q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6</v>
      </c>
      <c r="L29" s="72" t="n">
        <v>0.2</v>
      </c>
      <c r="P29" s="21"/>
      <c r="Q29" s="58"/>
    </row>
    <row r="30" customFormat="false" ht="12.75" hidden="true" customHeight="false" outlineLevel="0" collapsed="false">
      <c r="L30" s="43" t="n">
        <f aca="false">L28*1.2</f>
        <v>1507968</v>
      </c>
      <c r="P30" s="21"/>
      <c r="Q30" s="21"/>
    </row>
    <row r="31" customFormat="false" ht="12.75" hidden="true" customHeight="false" outlineLevel="0" collapsed="false">
      <c r="H31" s="16" t="s">
        <v>140</v>
      </c>
      <c r="L31" s="0"/>
      <c r="P31" s="21"/>
      <c r="Q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P32" s="21"/>
      <c r="Q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P33" s="21"/>
      <c r="Q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10</v>
      </c>
      <c r="L34" s="74" t="n">
        <f aca="false">+J34*K34</f>
        <v>482701.8125</v>
      </c>
      <c r="P34" s="21"/>
      <c r="Q34" s="21"/>
    </row>
    <row r="35" customFormat="false" ht="12.75" hidden="true" customHeight="false" outlineLevel="0" collapsed="false">
      <c r="P35" s="21"/>
      <c r="Q35" s="21"/>
    </row>
    <row r="36" customFormat="false" ht="12.75" hidden="true" customHeight="false" outlineLevel="0" collapsed="false">
      <c r="P36" s="21"/>
      <c r="Q36" s="21"/>
    </row>
    <row r="37" customFormat="false" ht="12.75" hidden="true" customHeight="false" outlineLevel="0" collapsed="false">
      <c r="P37" s="21"/>
      <c r="Q37" s="21"/>
    </row>
    <row r="38" customFormat="false" ht="12.75" hidden="true" customHeight="false" outlineLevel="0" collapsed="false">
      <c r="P38" s="21"/>
      <c r="Q38" s="21"/>
    </row>
    <row r="39" customFormat="false" ht="12.75" hidden="false" customHeight="false" outlineLevel="0" collapsed="false">
      <c r="P39" s="21"/>
      <c r="Q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7.28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false" outlineLevel="0" max="13" min="13" style="0" width="9.85"/>
    <col collapsed="false" customWidth="true" hidden="false" outlineLevel="0" max="14" min="14" style="0" width="16.84"/>
    <col collapsed="false" customWidth="true" hidden="false" outlineLevel="0" max="15" min="15" style="0" width="17.7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171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Q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Q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v>0</v>
      </c>
      <c r="I8" s="52" t="s">
        <v>96</v>
      </c>
      <c r="J8" s="43" t="n">
        <v>0</v>
      </c>
      <c r="L8" s="53" t="n">
        <f aca="false">L30</f>
        <v>985248</v>
      </c>
      <c r="M8" s="60"/>
      <c r="Q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8" t="n">
        <v>0</v>
      </c>
      <c r="G9" s="59" t="n">
        <f aca="false">E9/$E$23</f>
        <v>0</v>
      </c>
      <c r="H9" s="58"/>
      <c r="I9" s="52"/>
      <c r="L9" s="53"/>
      <c r="Q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8"/>
      <c r="E10" s="58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9" t="n">
        <f aca="false">E10/$E$23</f>
        <v>0.00377976191391553</v>
      </c>
      <c r="H10" s="58" t="n">
        <v>178200</v>
      </c>
      <c r="I10" s="52"/>
      <c r="L10" s="53"/>
      <c r="M10" s="60"/>
      <c r="N10" s="61"/>
      <c r="O10" s="61"/>
      <c r="P10" s="61"/>
      <c r="Q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+H10*0.2</f>
        <v>35640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5</v>
      </c>
      <c r="L11" s="53" t="n">
        <f aca="false">J11*K11</f>
        <v>241350.90625</v>
      </c>
      <c r="M11" s="60"/>
      <c r="N11" s="61"/>
      <c r="O11" s="61"/>
      <c r="P11" s="61"/>
      <c r="Q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v>10000</v>
      </c>
      <c r="I12" s="52"/>
      <c r="L12" s="53"/>
      <c r="M12" s="60"/>
      <c r="N12" s="61"/>
      <c r="O12" s="61"/>
      <c r="P12" s="61"/>
      <c r="Q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v>14000</v>
      </c>
      <c r="I13" s="63" t="s">
        <v>105</v>
      </c>
      <c r="J13" s="64"/>
      <c r="K13" s="64"/>
      <c r="L13" s="65" t="n">
        <f aca="false">L8+L11</f>
        <v>1226598.90625</v>
      </c>
      <c r="M13" s="60"/>
      <c r="N13" s="61"/>
      <c r="O13" s="61"/>
      <c r="P13" s="61"/>
      <c r="Q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v>2000</v>
      </c>
      <c r="M14" s="60"/>
      <c r="N14" s="61"/>
      <c r="O14" s="61"/>
      <c r="P14" s="61"/>
      <c r="Q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v>8000</v>
      </c>
      <c r="M15" s="60"/>
      <c r="Q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M16" s="60"/>
      <c r="Q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v>98.3333333333333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M17" s="60"/>
      <c r="Q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v>-0.0846666666664532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M18" s="60"/>
      <c r="Q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v>1820.172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M19" s="60"/>
      <c r="Q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v>0.266666666666667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M20" s="60"/>
      <c r="Q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v>2400</v>
      </c>
      <c r="I21" s="43" t="s">
        <v>127</v>
      </c>
      <c r="J21" s="43" t="n">
        <v>60500</v>
      </c>
      <c r="K21" s="43" t="n">
        <v>0</v>
      </c>
      <c r="L21" s="43" t="n">
        <f aca="false">J21*K21</f>
        <v>0</v>
      </c>
      <c r="M21" s="60"/>
      <c r="P21" s="21"/>
      <c r="Q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2</v>
      </c>
      <c r="L22" s="43" t="n">
        <f aca="false">J22*K22</f>
        <v>178200</v>
      </c>
      <c r="M22" s="60"/>
      <c r="P22" s="21"/>
      <c r="Q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252158.687333333</v>
      </c>
      <c r="I23" s="43" t="s">
        <v>133</v>
      </c>
      <c r="J23" s="43" t="n">
        <v>110000</v>
      </c>
      <c r="K23" s="43" t="n">
        <v>1</v>
      </c>
      <c r="L23" s="43" t="n">
        <f aca="false">J23*K23</f>
        <v>110000</v>
      </c>
      <c r="M23" s="70"/>
      <c r="P23" s="21"/>
      <c r="Q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0</v>
      </c>
      <c r="L24" s="43" t="n">
        <f aca="false">J24*K24</f>
        <v>0</v>
      </c>
      <c r="P24" s="21"/>
      <c r="Q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1" t="n">
        <v>0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P25" s="21"/>
      <c r="Q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2</v>
      </c>
      <c r="L26" s="43" t="n">
        <f aca="false">J26*K26</f>
        <v>396000</v>
      </c>
      <c r="P26" s="21"/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1" t="n">
        <f aca="false">+K21+K22</f>
        <v>2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P27" s="21"/>
      <c r="Q27" s="58"/>
    </row>
    <row r="28" customFormat="false" ht="12.75" hidden="false" customHeight="false" outlineLevel="0" collapsed="false">
      <c r="K28" s="43" t="n">
        <f aca="false">SUM(K16:K27)</f>
        <v>5</v>
      </c>
      <c r="L28" s="43" t="n">
        <f aca="false">SUM(L16:L27)*1.2</f>
        <v>821040</v>
      </c>
      <c r="P28" s="21"/>
      <c r="Q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2</v>
      </c>
      <c r="L29" s="72" t="n">
        <v>0.2</v>
      </c>
      <c r="P29" s="21"/>
      <c r="Q29" s="58"/>
    </row>
    <row r="30" customFormat="false" ht="12.75" hidden="true" customHeight="false" outlineLevel="0" collapsed="false">
      <c r="L30" s="43" t="n">
        <f aca="false">L28*1.2</f>
        <v>985248</v>
      </c>
      <c r="P30" s="21"/>
      <c r="Q30" s="21"/>
    </row>
    <row r="31" customFormat="false" ht="12.75" hidden="true" customHeight="false" outlineLevel="0" collapsed="false">
      <c r="H31" s="16" t="s">
        <v>140</v>
      </c>
      <c r="L31" s="0"/>
      <c r="P31" s="21"/>
      <c r="Q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P32" s="21"/>
      <c r="Q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P33" s="21"/>
      <c r="Q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5</v>
      </c>
      <c r="L34" s="74" t="n">
        <f aca="false">+J34*K34</f>
        <v>241350.90625</v>
      </c>
      <c r="P34" s="21"/>
      <c r="Q34" s="21"/>
    </row>
    <row r="35" customFormat="false" ht="12.75" hidden="true" customHeight="false" outlineLevel="0" collapsed="false">
      <c r="P35" s="21"/>
      <c r="Q35" s="21"/>
    </row>
    <row r="36" customFormat="false" ht="12.75" hidden="true" customHeight="false" outlineLevel="0" collapsed="false">
      <c r="P36" s="21"/>
      <c r="Q36" s="21"/>
    </row>
    <row r="37" customFormat="false" ht="12.75" hidden="true" customHeight="false" outlineLevel="0" collapsed="false">
      <c r="P37" s="21"/>
      <c r="Q37" s="21"/>
    </row>
    <row r="38" customFormat="false" ht="12.75" hidden="true" customHeight="false" outlineLevel="0" collapsed="false">
      <c r="P38" s="21"/>
      <c r="Q38" s="21"/>
    </row>
    <row r="39" customFormat="false" ht="12.75" hidden="false" customHeight="false" outlineLevel="0" collapsed="false">
      <c r="P39" s="21"/>
      <c r="Q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41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false" hidden="true" outlineLevel="0" max="13" min="13" style="0" width="9.06"/>
    <col collapsed="false" customWidth="true" hidden="true" outlineLevel="0" max="14" min="14" style="0" width="16.84"/>
    <col collapsed="false" customWidth="true" hidden="true" outlineLevel="0" max="15" min="15" style="0" width="15.85"/>
    <col collapsed="false" customWidth="true" hidden="true" outlineLevel="0" max="16" min="16" style="0" width="13.99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172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Q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Q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v>0</v>
      </c>
      <c r="I8" s="52" t="s">
        <v>96</v>
      </c>
      <c r="J8" s="43" t="n">
        <v>0</v>
      </c>
      <c r="L8" s="53" t="n">
        <f aca="false">L30</f>
        <v>128304</v>
      </c>
      <c r="Q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8" t="n">
        <v>0</v>
      </c>
      <c r="G9" s="59" t="n">
        <f aca="false">E9/$E$23</f>
        <v>0</v>
      </c>
      <c r="H9" s="58" t="n">
        <v>0</v>
      </c>
      <c r="I9" s="52"/>
      <c r="L9" s="53"/>
      <c r="Q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8"/>
      <c r="E10" s="58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9" t="n">
        <f aca="false">E10/$E$23</f>
        <v>0.00377976191391553</v>
      </c>
      <c r="H10" s="58" t="n">
        <f aca="false">L21+L22</f>
        <v>89100</v>
      </c>
      <c r="I10" s="52"/>
      <c r="L10" s="53"/>
      <c r="Q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+H10*0.2</f>
        <v>17820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1</v>
      </c>
      <c r="L11" s="53" t="n">
        <f aca="false">J11*K11</f>
        <v>48270.18125</v>
      </c>
      <c r="N11" s="61" t="s">
        <v>150</v>
      </c>
      <c r="O11" s="61" t="s">
        <v>151</v>
      </c>
      <c r="P11" s="61" t="s">
        <v>152</v>
      </c>
      <c r="Q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f aca="false">(E12/$E$29)*$K$11</f>
        <v>6162.47375</v>
      </c>
      <c r="I12" s="52"/>
      <c r="L12" s="53"/>
      <c r="N12" s="61" t="s">
        <v>153</v>
      </c>
      <c r="O12" s="61" t="s">
        <v>154</v>
      </c>
      <c r="P12" s="61" t="s">
        <v>152</v>
      </c>
      <c r="Q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f aca="false">(E13/$E$29)*$K$11</f>
        <v>5484.95691666667</v>
      </c>
      <c r="I13" s="63" t="s">
        <v>105</v>
      </c>
      <c r="J13" s="64"/>
      <c r="K13" s="64"/>
      <c r="L13" s="65" t="n">
        <f aca="false">L8+L11</f>
        <v>176574.18125</v>
      </c>
      <c r="N13" s="61" t="s">
        <v>155</v>
      </c>
      <c r="O13" s="61" t="s">
        <v>154</v>
      </c>
      <c r="P13" s="61" t="s">
        <v>152</v>
      </c>
      <c r="Q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f aca="false">(E14/$E$29)*$K$11</f>
        <v>0.00200000000016492</v>
      </c>
      <c r="N14" s="61" t="s">
        <v>156</v>
      </c>
      <c r="O14" s="61" t="s">
        <v>157</v>
      </c>
      <c r="P14" s="61" t="s">
        <v>152</v>
      </c>
      <c r="Q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f aca="false">(E15/$E$29)*$K$11</f>
        <v>871.358333333333</v>
      </c>
      <c r="N15" s="61" t="s">
        <v>158</v>
      </c>
      <c r="O15" s="61" t="s">
        <v>159</v>
      </c>
      <c r="P15" s="61" t="s">
        <v>152</v>
      </c>
      <c r="Q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f aca="false">(E16/$E$29)*$K$11</f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N16" s="61" t="s">
        <v>160</v>
      </c>
      <c r="O16" s="61" t="s">
        <v>159</v>
      </c>
      <c r="P16" s="61" t="s">
        <v>152</v>
      </c>
      <c r="Q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f aca="false">(E17/$E$29)*$K$11</f>
        <v>49.1666666666667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N17" s="77" t="s">
        <v>161</v>
      </c>
      <c r="O17" s="77" t="s">
        <v>121</v>
      </c>
      <c r="P17" s="61" t="s">
        <v>152</v>
      </c>
      <c r="Q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f aca="false">(E18/$E$29)*$K$11</f>
        <v>892.957666666667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Q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f aca="false">(E19/$E$29)*$K$11</f>
        <v>910.086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Q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f aca="false">(E20/$E$29)*$K$11</f>
        <v>0.133333333333333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Q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f aca="false">(E21/$E$29)*$K$11</f>
        <v>1131.57425</v>
      </c>
      <c r="I21" s="43" t="s">
        <v>127</v>
      </c>
      <c r="J21" s="43" t="n">
        <v>60500</v>
      </c>
      <c r="K21" s="43" t="n">
        <v>0</v>
      </c>
      <c r="L21" s="43" t="n">
        <f aca="false">J21*K21</f>
        <v>0</v>
      </c>
      <c r="P21" s="21"/>
      <c r="Q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1</v>
      </c>
      <c r="L22" s="43" t="n">
        <f aca="false">J22*K22</f>
        <v>89100</v>
      </c>
      <c r="P22" s="21"/>
      <c r="Q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122422.708916667</v>
      </c>
      <c r="I23" s="43" t="s">
        <v>133</v>
      </c>
      <c r="J23" s="43" t="n">
        <v>110000</v>
      </c>
      <c r="K23" s="43" t="n">
        <v>0</v>
      </c>
      <c r="L23" s="43" t="n">
        <f aca="false">J23*K23</f>
        <v>0</v>
      </c>
      <c r="P23" s="21"/>
      <c r="Q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0</v>
      </c>
      <c r="L24" s="43" t="n">
        <f aca="false">J24*K24</f>
        <v>0</v>
      </c>
      <c r="P24" s="21"/>
      <c r="Q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1" t="n">
        <f aca="false">+K16+K17+K18+K19+K20+K23+K24+K25+K26+K27</f>
        <v>0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P25" s="21"/>
      <c r="Q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0</v>
      </c>
      <c r="L26" s="43" t="n">
        <f aca="false">J26*K26</f>
        <v>0</v>
      </c>
      <c r="P26" s="21"/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1" t="n">
        <f aca="false">+K21+K22</f>
        <v>1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P27" s="21"/>
      <c r="Q27" s="58"/>
    </row>
    <row r="28" customFormat="false" ht="12.75" hidden="false" customHeight="false" outlineLevel="0" collapsed="false">
      <c r="K28" s="43" t="n">
        <f aca="false">SUM(K16:K27)</f>
        <v>1</v>
      </c>
      <c r="L28" s="43" t="n">
        <f aca="false">SUM(L16:L27)*1.2</f>
        <v>106920</v>
      </c>
      <c r="P28" s="21"/>
      <c r="Q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1</v>
      </c>
      <c r="L29" s="72" t="n">
        <v>0.2</v>
      </c>
      <c r="P29" s="21"/>
      <c r="Q29" s="58"/>
    </row>
    <row r="30" customFormat="false" ht="12.75" hidden="true" customHeight="false" outlineLevel="0" collapsed="false">
      <c r="L30" s="43" t="n">
        <f aca="false">L28*1.2</f>
        <v>128304</v>
      </c>
      <c r="P30" s="21"/>
      <c r="Q30" s="21"/>
    </row>
    <row r="31" customFormat="false" ht="12.75" hidden="true" customHeight="false" outlineLevel="0" collapsed="false">
      <c r="H31" s="16" t="s">
        <v>140</v>
      </c>
      <c r="L31" s="0"/>
      <c r="P31" s="21"/>
      <c r="Q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P32" s="21"/>
      <c r="Q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P33" s="21"/>
      <c r="Q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1</v>
      </c>
      <c r="L34" s="74" t="n">
        <f aca="false">+J34*K34</f>
        <v>48270.18125</v>
      </c>
      <c r="P34" s="21"/>
      <c r="Q34" s="21"/>
    </row>
    <row r="35" customFormat="false" ht="12.75" hidden="true" customHeight="false" outlineLevel="0" collapsed="false">
      <c r="P35" s="21"/>
      <c r="Q35" s="21"/>
    </row>
    <row r="36" customFormat="false" ht="12.75" hidden="true" customHeight="false" outlineLevel="0" collapsed="false">
      <c r="P36" s="21"/>
      <c r="Q36" s="21"/>
    </row>
    <row r="37" customFormat="false" ht="12.75" hidden="true" customHeight="false" outlineLevel="0" collapsed="false">
      <c r="P37" s="21"/>
      <c r="Q37" s="21"/>
    </row>
    <row r="38" customFormat="false" ht="12.75" hidden="true" customHeight="false" outlineLevel="0" collapsed="false">
      <c r="P38" s="21"/>
      <c r="Q38" s="21"/>
    </row>
    <row r="39" customFormat="false" ht="12.75" hidden="false" customHeight="false" outlineLevel="0" collapsed="false">
      <c r="P39" s="21"/>
      <c r="Q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22.7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false" outlineLevel="0" max="15" min="15" style="0" width="10.28"/>
    <col collapsed="false" customWidth="true" hidden="false" outlineLevel="0" max="16" min="16" style="0" width="10.71"/>
  </cols>
  <sheetData>
    <row r="1" customFormat="false" ht="18" hidden="false" customHeight="false" outlineLevel="0" collapsed="false">
      <c r="B1" s="44" t="str">
        <f aca="false">'[3]Team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customFormat="false" ht="18" hidden="false" customHeight="false" outlineLevel="0" collapsed="false">
      <c r="B2" s="44" t="s">
        <v>173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P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P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v>0</v>
      </c>
      <c r="I8" s="52" t="s">
        <v>96</v>
      </c>
      <c r="J8" s="43" t="n">
        <v>0</v>
      </c>
      <c r="L8" s="53" t="n">
        <f aca="false">L30</f>
        <v>1956240</v>
      </c>
      <c r="P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58" t="n">
        <v>0</v>
      </c>
      <c r="G9" s="59" t="n">
        <f aca="false">E9/$E$23</f>
        <v>0</v>
      </c>
      <c r="H9" s="58"/>
      <c r="I9" s="52"/>
      <c r="L9" s="53"/>
      <c r="P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58"/>
      <c r="E10" s="58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59" t="n">
        <f aca="false">E10/$E$23</f>
        <v>0.00377976191391553</v>
      </c>
      <c r="H10" s="58" t="n">
        <v>60500</v>
      </c>
      <c r="I10" s="52"/>
      <c r="L10" s="53"/>
      <c r="P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+H10*0.2</f>
        <v>12100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10</v>
      </c>
      <c r="L11" s="53" t="n">
        <f aca="false">J11*K11</f>
        <v>482701.8125</v>
      </c>
      <c r="P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v>7500</v>
      </c>
      <c r="I12" s="52"/>
      <c r="L12" s="53"/>
      <c r="P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v>25000</v>
      </c>
      <c r="I13" s="63" t="s">
        <v>105</v>
      </c>
      <c r="J13" s="64"/>
      <c r="K13" s="64"/>
      <c r="L13" s="65" t="n">
        <f aca="false">L8+L11</f>
        <v>2438941.8125</v>
      </c>
      <c r="O13" s="60"/>
      <c r="P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v>0</v>
      </c>
      <c r="P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v>5000</v>
      </c>
      <c r="P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P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v>59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P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v>7500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P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v>10000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P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v>0.2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P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v>1500</v>
      </c>
      <c r="I21" s="43" t="s">
        <v>127</v>
      </c>
      <c r="J21" s="43" t="n">
        <v>60500</v>
      </c>
      <c r="K21" s="43" t="n">
        <v>1</v>
      </c>
      <c r="L21" s="43" t="n">
        <f aca="false">J21*K21</f>
        <v>60500</v>
      </c>
      <c r="O21" s="21"/>
      <c r="P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0</v>
      </c>
      <c r="L22" s="43" t="n">
        <f aca="false">J22*K22</f>
        <v>0</v>
      </c>
      <c r="O22" s="21"/>
      <c r="P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129159.2</v>
      </c>
      <c r="I23" s="43" t="s">
        <v>133</v>
      </c>
      <c r="J23" s="43" t="n">
        <v>110000</v>
      </c>
      <c r="K23" s="43" t="n">
        <f aca="false">2+1</f>
        <v>3</v>
      </c>
      <c r="L23" s="43" t="n">
        <f aca="false">J23*K23</f>
        <v>330000</v>
      </c>
      <c r="O23" s="21"/>
      <c r="P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f aca="false">2+1+1</f>
        <v>4</v>
      </c>
      <c r="L24" s="43" t="n">
        <f aca="false">J24*K24</f>
        <v>572000</v>
      </c>
      <c r="O24" s="21"/>
      <c r="P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1" t="n">
        <v>0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O25" s="21"/>
      <c r="P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2</v>
      </c>
      <c r="L26" s="43" t="n">
        <f aca="false">J26*K26</f>
        <v>396000</v>
      </c>
      <c r="O26" s="21"/>
      <c r="P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1" t="n">
        <v>1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O27" s="21"/>
      <c r="P27" s="58"/>
    </row>
    <row r="28" customFormat="false" ht="12.75" hidden="false" customHeight="false" outlineLevel="0" collapsed="false">
      <c r="K28" s="43" t="n">
        <f aca="false">SUM(K16:K27)</f>
        <v>10</v>
      </c>
      <c r="L28" s="43" t="n">
        <f aca="false">SUM(L16:L27)*1.2</f>
        <v>1630200</v>
      </c>
      <c r="O28" s="21"/>
      <c r="P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1</v>
      </c>
      <c r="L29" s="72" t="n">
        <v>0.2</v>
      </c>
      <c r="O29" s="21"/>
      <c r="P29" s="58"/>
    </row>
    <row r="30" customFormat="false" ht="12.75" hidden="true" customHeight="false" outlineLevel="0" collapsed="false">
      <c r="L30" s="43" t="n">
        <f aca="false">L28*1.2</f>
        <v>1956240</v>
      </c>
      <c r="O30" s="21"/>
      <c r="P30" s="21"/>
    </row>
    <row r="31" customFormat="false" ht="12.75" hidden="true" customHeight="false" outlineLevel="0" collapsed="false">
      <c r="H31" s="16" t="s">
        <v>140</v>
      </c>
      <c r="L31" s="0"/>
      <c r="O31" s="21"/>
      <c r="P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O32" s="21"/>
      <c r="P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O33" s="21"/>
      <c r="P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10</v>
      </c>
      <c r="L34" s="74" t="n">
        <f aca="false">+J34*K34</f>
        <v>482701.8125</v>
      </c>
      <c r="O34" s="21"/>
      <c r="P34" s="21"/>
    </row>
    <row r="35" customFormat="false" ht="12.75" hidden="true" customHeight="false" outlineLevel="0" collapsed="false">
      <c r="O35" s="21"/>
      <c r="P35" s="21"/>
    </row>
    <row r="36" customFormat="false" ht="12.75" hidden="true" customHeight="false" outlineLevel="0" collapsed="false">
      <c r="O36" s="21"/>
      <c r="P36" s="21"/>
    </row>
    <row r="37" customFormat="false" ht="12.75" hidden="true" customHeight="false" outlineLevel="0" collapsed="false">
      <c r="O37" s="21"/>
      <c r="P37" s="21"/>
    </row>
    <row r="38" customFormat="false" ht="12.75" hidden="true" customHeight="false" outlineLevel="0" collapsed="false">
      <c r="O38" s="21"/>
      <c r="P38" s="21"/>
    </row>
    <row r="39" customFormat="false" ht="12.75" hidden="false" customHeight="false" outlineLevel="0" collapsed="false">
      <c r="O39" s="21"/>
      <c r="P39" s="21"/>
    </row>
    <row r="42" customFormat="false" ht="12.75" hidden="false" customHeight="false" outlineLevel="0" collapsed="false">
      <c r="B42" s="61"/>
      <c r="C42" s="61"/>
      <c r="D42" s="61"/>
    </row>
    <row r="43" customFormat="false" ht="12.75" hidden="false" customHeight="false" outlineLevel="0" collapsed="false">
      <c r="B43" s="61"/>
      <c r="C43" s="61"/>
      <c r="D43" s="61"/>
    </row>
    <row r="44" customFormat="false" ht="12.75" hidden="false" customHeight="false" outlineLevel="0" collapsed="false">
      <c r="B44" s="61"/>
      <c r="C44" s="61"/>
      <c r="D44" s="61"/>
    </row>
    <row r="45" customFormat="false" ht="12.75" hidden="false" customHeight="false" outlineLevel="0" collapsed="false">
      <c r="B45" s="61"/>
      <c r="C45" s="61"/>
      <c r="D45" s="61"/>
    </row>
    <row r="46" customFormat="false" ht="12.75" hidden="false" customHeight="false" outlineLevel="0" collapsed="false">
      <c r="B46" s="61"/>
      <c r="C46" s="61"/>
      <c r="D46" s="61"/>
    </row>
    <row r="47" customFormat="false" ht="12.75" hidden="false" customHeight="false" outlineLevel="0" collapsed="false">
      <c r="B47" s="61"/>
      <c r="C47" s="61"/>
      <c r="D47" s="61"/>
    </row>
    <row r="48" customFormat="false" ht="12.75" hidden="false" customHeight="false" outlineLevel="0" collapsed="false">
      <c r="B48" s="61"/>
      <c r="C48" s="61"/>
      <c r="D48" s="61"/>
    </row>
    <row r="49" customFormat="false" ht="12.75" hidden="false" customHeight="false" outlineLevel="0" collapsed="false">
      <c r="B49" s="61"/>
      <c r="C49" s="61"/>
      <c r="D49" s="61"/>
    </row>
    <row r="50" customFormat="false" ht="12.75" hidden="false" customHeight="false" outlineLevel="0" collapsed="false">
      <c r="B50" s="77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3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Format="false" ht="13.5" hidden="false" customHeight="false" outlineLevel="0" collapsed="false">
      <c r="A4" s="3"/>
      <c r="H4" s="4" t="s">
        <v>3</v>
      </c>
      <c r="I4" s="1"/>
      <c r="J4" s="4" t="n">
        <v>2000</v>
      </c>
      <c r="L4" s="4" t="s">
        <v>4</v>
      </c>
      <c r="N4" s="4" t="n">
        <v>2001</v>
      </c>
      <c r="P4" s="4" t="s">
        <v>5</v>
      </c>
      <c r="T4" s="4" t="s">
        <v>5</v>
      </c>
    </row>
    <row r="5" customFormat="false" ht="13.5" hidden="false" customHeight="false" outlineLevel="0" collapsed="false">
      <c r="E5" s="4" t="s">
        <v>6</v>
      </c>
      <c r="G5" s="5" t="s">
        <v>7</v>
      </c>
      <c r="H5" s="6" t="s">
        <v>8</v>
      </c>
      <c r="I5" s="1"/>
      <c r="J5" s="6" t="s">
        <v>9</v>
      </c>
      <c r="K5" s="1"/>
      <c r="L5" s="6" t="s">
        <v>8</v>
      </c>
      <c r="M5" s="7"/>
      <c r="N5" s="6" t="s">
        <v>9</v>
      </c>
      <c r="O5" s="7"/>
      <c r="P5" s="6" t="s">
        <v>8</v>
      </c>
      <c r="R5" s="4" t="s">
        <v>10</v>
      </c>
      <c r="T5" s="6" t="s">
        <v>9</v>
      </c>
    </row>
    <row r="6" customFormat="false" ht="12.75" hidden="false" customHeight="false" outlineLevel="0" collapsed="false">
      <c r="E6" s="8"/>
      <c r="G6" s="8"/>
      <c r="H6" s="9"/>
      <c r="I6" s="10"/>
      <c r="J6" s="9"/>
      <c r="K6" s="10"/>
      <c r="L6" s="9"/>
      <c r="M6" s="7"/>
      <c r="N6" s="9"/>
      <c r="O6" s="7"/>
      <c r="P6" s="9"/>
      <c r="R6" s="8"/>
      <c r="T6" s="9"/>
    </row>
    <row r="7" customFormat="false" ht="12.75" hidden="false" customHeight="false" outlineLevel="0" collapsed="false">
      <c r="E7" s="9"/>
      <c r="G7" s="9"/>
      <c r="H7" s="9"/>
      <c r="I7" s="10"/>
      <c r="J7" s="9"/>
      <c r="K7" s="10"/>
      <c r="L7" s="9"/>
      <c r="M7" s="7"/>
      <c r="N7" s="9"/>
      <c r="O7" s="7"/>
      <c r="P7" s="9"/>
      <c r="R7" s="9"/>
      <c r="T7" s="9"/>
    </row>
    <row r="8" customFormat="false" ht="12.75" hidden="false" customHeight="false" outlineLevel="0" collapsed="false">
      <c r="B8" s="0" t="s">
        <v>80</v>
      </c>
      <c r="E8" s="11" t="n">
        <v>0</v>
      </c>
      <c r="F8" s="12"/>
      <c r="G8" s="11" t="n">
        <v>425</v>
      </c>
      <c r="H8" s="11" t="n">
        <f aca="false">67.7-0.7+4.6</f>
        <v>71.6</v>
      </c>
      <c r="I8" s="12"/>
      <c r="J8" s="13" t="n">
        <f aca="false">151+12</f>
        <v>163</v>
      </c>
      <c r="K8" s="12"/>
      <c r="L8" s="11" t="n">
        <f aca="false">29.1+5+4.1</f>
        <v>38.2</v>
      </c>
      <c r="M8" s="12" t="s">
        <v>12</v>
      </c>
      <c r="N8" s="14" t="n">
        <f aca="false">164-37+16</f>
        <v>143</v>
      </c>
      <c r="O8" s="12"/>
      <c r="P8" s="11" t="n">
        <v>20.6</v>
      </c>
      <c r="Q8" s="12"/>
      <c r="R8" s="11" t="n">
        <f aca="false">G8-P8</f>
        <v>404.4</v>
      </c>
      <c r="T8" s="14" t="n">
        <v>90</v>
      </c>
    </row>
    <row r="9" customFormat="false" ht="12.75" hidden="false" customHeight="false" outlineLevel="0" collapsed="false">
      <c r="E9" s="11"/>
      <c r="F9" s="12"/>
      <c r="G9" s="11"/>
      <c r="H9" s="11"/>
      <c r="I9" s="12"/>
      <c r="J9" s="15"/>
      <c r="K9" s="12"/>
      <c r="L9" s="11" t="s">
        <v>12</v>
      </c>
      <c r="M9" s="12"/>
      <c r="N9" s="14"/>
      <c r="O9" s="12"/>
      <c r="P9" s="11"/>
      <c r="Q9" s="12"/>
      <c r="R9" s="11"/>
      <c r="T9" s="14"/>
    </row>
    <row r="10" customFormat="false" ht="12.75" hidden="false" customHeight="false" outlineLevel="0" collapsed="false">
      <c r="B10" s="0" t="s">
        <v>81</v>
      </c>
      <c r="E10" s="11" t="n">
        <v>0</v>
      </c>
      <c r="F10" s="12"/>
      <c r="G10" s="11" t="n">
        <v>250</v>
      </c>
      <c r="H10" s="11" t="n">
        <v>29.9</v>
      </c>
      <c r="I10" s="12"/>
      <c r="J10" s="13" t="n">
        <v>147</v>
      </c>
      <c r="K10" s="12"/>
      <c r="L10" s="11" t="n">
        <f aca="false">32.8+6.4+0.5</f>
        <v>39.7</v>
      </c>
      <c r="M10" s="12"/>
      <c r="N10" s="14" t="n">
        <f aca="false">216-29</f>
        <v>187</v>
      </c>
      <c r="O10" s="12"/>
      <c r="P10" s="11" t="n">
        <v>10.6</v>
      </c>
      <c r="Q10" s="12"/>
      <c r="R10" s="11" t="n">
        <f aca="false">G10-P10</f>
        <v>239.4</v>
      </c>
      <c r="T10" s="14" t="n">
        <v>64</v>
      </c>
    </row>
    <row r="11" customFormat="false" ht="12.75" hidden="false" customHeight="false" outlineLevel="0" collapsed="false">
      <c r="E11" s="11"/>
      <c r="F11" s="12"/>
      <c r="G11" s="11"/>
      <c r="H11" s="11"/>
      <c r="I11" s="12"/>
      <c r="J11" s="15"/>
      <c r="K11" s="12"/>
      <c r="L11" s="11"/>
      <c r="M11" s="12"/>
      <c r="N11" s="14"/>
      <c r="O11" s="12"/>
      <c r="P11" s="11"/>
      <c r="Q11" s="12"/>
      <c r="R11" s="11"/>
      <c r="T11" s="14"/>
    </row>
    <row r="12" customFormat="false" ht="12.75" hidden="false" customHeight="false" outlineLevel="0" collapsed="false">
      <c r="B12" s="0" t="s">
        <v>82</v>
      </c>
      <c r="E12" s="11" t="n">
        <v>0</v>
      </c>
      <c r="F12" s="12"/>
      <c r="G12" s="11" t="n">
        <v>150</v>
      </c>
      <c r="H12" s="11" t="n">
        <v>18.1</v>
      </c>
      <c r="I12" s="12"/>
      <c r="J12" s="13" t="n">
        <v>67</v>
      </c>
      <c r="K12" s="12"/>
      <c r="L12" s="11" t="n">
        <f aca="false">27.3+6.5</f>
        <v>33.8</v>
      </c>
      <c r="M12" s="12"/>
      <c r="N12" s="14" t="n">
        <f aca="false">106-10</f>
        <v>96</v>
      </c>
      <c r="O12" s="12"/>
      <c r="P12" s="11" t="n">
        <v>7.9</v>
      </c>
      <c r="Q12" s="12"/>
      <c r="R12" s="11" t="n">
        <f aca="false">G12-P12</f>
        <v>142.1</v>
      </c>
      <c r="T12" s="14" t="n">
        <v>42</v>
      </c>
    </row>
    <row r="13" customFormat="false" ht="12.75" hidden="false" customHeight="false" outlineLevel="0" collapsed="false">
      <c r="E13" s="11"/>
      <c r="F13" s="12"/>
      <c r="G13" s="11"/>
      <c r="H13" s="11"/>
      <c r="I13" s="12"/>
      <c r="J13" s="15"/>
      <c r="K13" s="12"/>
      <c r="L13" s="11"/>
      <c r="M13" s="12"/>
      <c r="N13" s="14"/>
      <c r="O13" s="12"/>
      <c r="P13" s="11"/>
      <c r="Q13" s="12"/>
      <c r="R13" s="11"/>
      <c r="T13" s="14"/>
    </row>
    <row r="14" customFormat="false" ht="12.75" hidden="false" customHeight="false" outlineLevel="0" collapsed="false">
      <c r="B14" s="0" t="s">
        <v>30</v>
      </c>
      <c r="E14" s="11" t="n">
        <v>0</v>
      </c>
      <c r="F14" s="12"/>
      <c r="G14" s="11" t="n">
        <v>50</v>
      </c>
      <c r="H14" s="11" t="n">
        <v>8</v>
      </c>
      <c r="I14" s="12"/>
      <c r="J14" s="13" t="n">
        <v>47</v>
      </c>
      <c r="K14" s="12"/>
      <c r="L14" s="11" t="n">
        <v>9</v>
      </c>
      <c r="M14" s="12"/>
      <c r="N14" s="14" t="n">
        <v>49</v>
      </c>
      <c r="O14" s="12"/>
      <c r="P14" s="11" t="n">
        <v>4.8</v>
      </c>
      <c r="Q14" s="12"/>
      <c r="R14" s="11" t="n">
        <f aca="false">G14-P14</f>
        <v>45.2</v>
      </c>
      <c r="T14" s="14" t="n">
        <v>27</v>
      </c>
      <c r="V14" s="21"/>
    </row>
    <row r="15" customFormat="false" ht="12.75" hidden="true" customHeight="false" outlineLevel="0" collapsed="false">
      <c r="E15" s="11"/>
      <c r="F15" s="12"/>
      <c r="G15" s="11"/>
      <c r="H15" s="11"/>
      <c r="I15" s="12"/>
      <c r="J15" s="15"/>
      <c r="K15" s="12"/>
      <c r="L15" s="11"/>
      <c r="M15" s="12"/>
      <c r="N15" s="14"/>
      <c r="O15" s="12"/>
      <c r="P15" s="11"/>
      <c r="Q15" s="12"/>
      <c r="R15" s="11"/>
      <c r="T15" s="14"/>
      <c r="V15" s="21"/>
    </row>
    <row r="16" customFormat="false" ht="12.75" hidden="true" customHeight="false" outlineLevel="0" collapsed="false">
      <c r="B16" s="0" t="s">
        <v>22</v>
      </c>
      <c r="E16" s="11"/>
      <c r="F16" s="12"/>
      <c r="G16" s="11" t="n">
        <v>0</v>
      </c>
      <c r="H16" s="11" t="n">
        <v>0</v>
      </c>
      <c r="I16" s="12"/>
      <c r="J16" s="13" t="n">
        <v>0</v>
      </c>
      <c r="K16" s="12"/>
      <c r="L16" s="11" t="n">
        <v>0</v>
      </c>
      <c r="M16" s="12"/>
      <c r="N16" s="14" t="n">
        <v>0</v>
      </c>
      <c r="O16" s="12"/>
      <c r="P16" s="11" t="n">
        <v>0</v>
      </c>
      <c r="Q16" s="12"/>
      <c r="R16" s="11" t="n">
        <f aca="false">G16-P16</f>
        <v>0</v>
      </c>
      <c r="T16" s="14" t="n">
        <v>0</v>
      </c>
      <c r="V16" s="21"/>
    </row>
    <row r="17" customFormat="false" ht="12.75" hidden="false" customHeight="false" outlineLevel="0" collapsed="false">
      <c r="E17" s="11"/>
      <c r="F17" s="12"/>
      <c r="G17" s="11"/>
      <c r="H17" s="11"/>
      <c r="I17" s="12"/>
      <c r="J17" s="15"/>
      <c r="K17" s="12"/>
      <c r="L17" s="11"/>
      <c r="M17" s="12"/>
      <c r="N17" s="14"/>
      <c r="O17" s="12"/>
      <c r="P17" s="11"/>
      <c r="Q17" s="12"/>
      <c r="R17" s="11"/>
      <c r="T17" s="14"/>
      <c r="V17" s="21"/>
    </row>
    <row r="18" customFormat="false" ht="12.75" hidden="true" customHeight="false" outlineLevel="0" collapsed="false">
      <c r="B18" s="0" t="s">
        <v>32</v>
      </c>
      <c r="E18" s="11"/>
      <c r="F18" s="12"/>
      <c r="G18" s="11"/>
      <c r="H18" s="11" t="n">
        <v>162</v>
      </c>
      <c r="I18" s="12"/>
      <c r="J18" s="13" t="n">
        <v>151</v>
      </c>
      <c r="K18" s="12"/>
      <c r="L18" s="11" t="n">
        <v>140</v>
      </c>
      <c r="M18" s="12"/>
      <c r="N18" s="13" t="n">
        <f aca="false">25+17</f>
        <v>42</v>
      </c>
      <c r="O18" s="12"/>
      <c r="P18" s="11" t="n">
        <v>0</v>
      </c>
      <c r="Q18" s="12"/>
      <c r="R18" s="11"/>
      <c r="T18" s="15" t="n">
        <v>0</v>
      </c>
      <c r="V18" s="21"/>
    </row>
    <row r="19" customFormat="false" ht="12.75" hidden="true" customHeight="false" outlineLevel="0" collapsed="false">
      <c r="E19" s="11"/>
      <c r="F19" s="12"/>
      <c r="G19" s="11"/>
      <c r="H19" s="11"/>
      <c r="I19" s="12"/>
      <c r="J19" s="15" t="s">
        <v>12</v>
      </c>
      <c r="K19" s="12"/>
      <c r="L19" s="11"/>
      <c r="M19" s="12"/>
      <c r="N19" s="14" t="s">
        <v>12</v>
      </c>
      <c r="O19" s="12"/>
      <c r="P19" s="11"/>
      <c r="Q19" s="12"/>
      <c r="R19" s="11"/>
      <c r="T19" s="14" t="s">
        <v>12</v>
      </c>
      <c r="V19" s="21"/>
    </row>
    <row r="20" customFormat="false" ht="12.75" hidden="true" customHeight="false" outlineLevel="0" collapsed="false">
      <c r="B20" s="0" t="s">
        <v>33</v>
      </c>
      <c r="E20" s="11"/>
      <c r="F20" s="12"/>
      <c r="G20" s="11"/>
      <c r="H20" s="11" t="n">
        <v>31</v>
      </c>
      <c r="I20" s="12"/>
      <c r="J20" s="13" t="n">
        <v>107</v>
      </c>
      <c r="K20" s="12"/>
      <c r="L20" s="11" t="n">
        <v>7</v>
      </c>
      <c r="M20" s="12"/>
      <c r="N20" s="13" t="n">
        <v>36</v>
      </c>
      <c r="O20" s="12"/>
      <c r="P20" s="11" t="n">
        <v>0</v>
      </c>
      <c r="Q20" s="12"/>
      <c r="R20" s="11"/>
      <c r="T20" s="15" t="n">
        <v>0</v>
      </c>
      <c r="V20" s="21"/>
    </row>
    <row r="21" customFormat="false" ht="12.75" hidden="true" customHeight="false" outlineLevel="0" collapsed="false">
      <c r="E21" s="11"/>
      <c r="F21" s="12"/>
      <c r="G21" s="11"/>
      <c r="H21" s="11"/>
      <c r="I21" s="12"/>
      <c r="J21" s="15"/>
      <c r="K21" s="12"/>
      <c r="L21" s="11"/>
      <c r="M21" s="12"/>
      <c r="N21" s="14"/>
      <c r="O21" s="12"/>
      <c r="P21" s="11"/>
      <c r="Q21" s="12"/>
      <c r="R21" s="11"/>
      <c r="T21" s="14"/>
      <c r="V21" s="21"/>
    </row>
    <row r="22" customFormat="false" ht="12.75" hidden="false" customHeight="false" outlineLevel="0" collapsed="false">
      <c r="B22" s="0" t="s">
        <v>83</v>
      </c>
      <c r="E22" s="14"/>
      <c r="G22" s="14"/>
      <c r="H22" s="14" t="n">
        <v>34.3</v>
      </c>
      <c r="I22" s="21"/>
      <c r="J22" s="13" t="n">
        <v>65</v>
      </c>
      <c r="K22" s="21"/>
      <c r="L22" s="14" t="n">
        <v>257.1</v>
      </c>
      <c r="N22" s="14" t="n">
        <v>5</v>
      </c>
      <c r="P22" s="11" t="n">
        <v>2.1</v>
      </c>
      <c r="R22" s="11" t="n">
        <f aca="false">G22-P22</f>
        <v>-2.1</v>
      </c>
      <c r="T22" s="14" t="n">
        <v>6</v>
      </c>
    </row>
    <row r="23" customFormat="false" ht="12.75" hidden="false" customHeight="false" outlineLevel="0" collapsed="false">
      <c r="E23" s="22"/>
      <c r="G23" s="22"/>
      <c r="H23" s="14"/>
      <c r="I23" s="21"/>
      <c r="J23" s="22"/>
      <c r="K23" s="21"/>
      <c r="L23" s="14"/>
      <c r="N23" s="22"/>
      <c r="P23" s="23"/>
      <c r="R23" s="22"/>
      <c r="T23" s="22"/>
    </row>
    <row r="24" customFormat="false" ht="12.75" hidden="false" customHeight="false" outlineLevel="0" collapsed="false">
      <c r="D24" s="16" t="s">
        <v>35</v>
      </c>
      <c r="E24" s="24" t="n">
        <v>60</v>
      </c>
      <c r="G24" s="25" t="n">
        <f aca="false">G14+G12+G10+G8</f>
        <v>875</v>
      </c>
      <c r="H24" s="25" t="n">
        <f aca="false">+H8+H10+H12+H14+H16+H22+H18+H20</f>
        <v>354.9</v>
      </c>
      <c r="I24" s="26"/>
      <c r="J24" s="27" t="n">
        <f aca="false">+J8+J10+J12+J14+J16+J18+J20+J22</f>
        <v>747</v>
      </c>
      <c r="K24" s="26"/>
      <c r="L24" s="25" t="n">
        <f aca="false">+L8+L10+L12+L14+L16+L22+L18+L20</f>
        <v>524.8</v>
      </c>
      <c r="N24" s="27" t="n">
        <f aca="false">+N8+N10+N12+N14+N16+N22+N18+N20</f>
        <v>558</v>
      </c>
      <c r="P24" s="25" t="n">
        <f aca="false">+P8+P10+P12+P14+P16+P22+P18+P20</f>
        <v>46</v>
      </c>
      <c r="R24" s="11" t="n">
        <f aca="false">G24-P24</f>
        <v>829</v>
      </c>
      <c r="T24" s="27" t="n">
        <f aca="false">+T8+T10+T12+T14+T16+T22+T18+T20</f>
        <v>229</v>
      </c>
    </row>
    <row r="25" customFormat="false" ht="12.75" hidden="false" customHeight="false" outlineLevel="0" collapsed="false">
      <c r="H25" s="14"/>
      <c r="I25" s="21"/>
      <c r="J25" s="28"/>
      <c r="L25" s="14"/>
      <c r="N25" s="28"/>
      <c r="P25" s="11"/>
      <c r="R25" s="28"/>
      <c r="T25" s="28"/>
    </row>
    <row r="26" customFormat="false" ht="12.75" hidden="false" customHeight="false" outlineLevel="0" collapsed="false">
      <c r="B26" s="0" t="s">
        <v>38</v>
      </c>
      <c r="H26" s="30" t="n">
        <v>14</v>
      </c>
      <c r="I26" s="31"/>
      <c r="J26" s="13" t="n">
        <v>128</v>
      </c>
      <c r="L26" s="14" t="n">
        <v>7.9</v>
      </c>
      <c r="M26" s="0" t="s">
        <v>12</v>
      </c>
      <c r="N26" s="14" t="n">
        <v>122</v>
      </c>
      <c r="P26" s="11" t="n">
        <v>6.8</v>
      </c>
      <c r="R26" s="29" t="n">
        <f aca="false">G26-P26</f>
        <v>-6.8</v>
      </c>
      <c r="T26" s="14" t="n">
        <v>45</v>
      </c>
      <c r="U26" s="0" t="s">
        <v>12</v>
      </c>
      <c r="V26" s="0" t="s">
        <v>12</v>
      </c>
      <c r="W26" s="0" t="s">
        <v>12</v>
      </c>
      <c r="X26" s="0" t="s">
        <v>12</v>
      </c>
    </row>
    <row r="27" customFormat="false" ht="12.75" hidden="false" customHeight="false" outlineLevel="0" collapsed="false">
      <c r="H27" s="14"/>
      <c r="I27" s="21"/>
      <c r="J27" s="14"/>
      <c r="L27" s="14"/>
      <c r="N27" s="14"/>
      <c r="P27" s="11"/>
      <c r="R27" s="29"/>
      <c r="T27" s="14"/>
    </row>
    <row r="28" customFormat="false" ht="12.75" hidden="false" customHeight="false" outlineLevel="0" collapsed="false">
      <c r="B28" s="0" t="s">
        <v>39</v>
      </c>
      <c r="E28" s="0" t="s">
        <v>12</v>
      </c>
      <c r="H28" s="14" t="n">
        <v>5.7</v>
      </c>
      <c r="I28" s="21"/>
      <c r="J28" s="13" t="n">
        <v>30</v>
      </c>
      <c r="L28" s="14" t="n">
        <v>2.5</v>
      </c>
      <c r="M28" s="0" t="s">
        <v>12</v>
      </c>
      <c r="N28" s="14" t="n">
        <f aca="false">28+7</f>
        <v>35</v>
      </c>
      <c r="P28" s="11" t="n">
        <f aca="false">1.1+1</f>
        <v>2.1</v>
      </c>
      <c r="R28" s="29" t="n">
        <f aca="false">G28-P28</f>
        <v>-2.1</v>
      </c>
      <c r="T28" s="14" t="n">
        <f aca="false">6+4</f>
        <v>10</v>
      </c>
    </row>
    <row r="29" customFormat="false" ht="12.75" hidden="false" customHeight="false" outlineLevel="0" collapsed="false">
      <c r="H29" s="14"/>
      <c r="I29" s="21"/>
      <c r="J29" s="14"/>
      <c r="L29" s="14" t="s">
        <v>12</v>
      </c>
      <c r="N29" s="14"/>
      <c r="P29" s="11"/>
      <c r="R29" s="29"/>
      <c r="T29" s="14"/>
    </row>
    <row r="30" customFormat="false" ht="12.75" hidden="false" customHeight="false" outlineLevel="0" collapsed="false">
      <c r="B30" s="0" t="s">
        <v>40</v>
      </c>
      <c r="H30" s="14" t="n">
        <v>11.4</v>
      </c>
      <c r="I30" s="21"/>
      <c r="J30" s="15" t="s">
        <v>12</v>
      </c>
      <c r="L30" s="14" t="n">
        <v>9.5</v>
      </c>
      <c r="M30" s="0" t="s">
        <v>12</v>
      </c>
      <c r="N30" s="13"/>
      <c r="P30" s="11" t="n">
        <v>2.2</v>
      </c>
      <c r="R30" s="29" t="n">
        <f aca="false">G30-P30</f>
        <v>-2.2</v>
      </c>
      <c r="T30" s="14" t="n">
        <v>10</v>
      </c>
    </row>
    <row r="31" customFormat="false" ht="12.75" hidden="false" customHeight="false" outlineLevel="0" collapsed="false">
      <c r="H31" s="14"/>
      <c r="I31" s="21"/>
      <c r="J31" s="14"/>
      <c r="L31" s="14"/>
      <c r="M31" s="0" t="s">
        <v>12</v>
      </c>
      <c r="N31" s="14"/>
      <c r="P31" s="11"/>
      <c r="R31" s="14"/>
      <c r="T31" s="14"/>
    </row>
    <row r="32" customFormat="false" ht="12.75" hidden="false" customHeight="false" outlineLevel="0" collapsed="false">
      <c r="B32" s="0" t="s">
        <v>41</v>
      </c>
      <c r="H32" s="14" t="n">
        <v>11.4</v>
      </c>
      <c r="I32" s="21"/>
      <c r="J32" s="15" t="s">
        <v>12</v>
      </c>
      <c r="L32" s="30" t="n">
        <v>7.3</v>
      </c>
      <c r="N32" s="15"/>
      <c r="P32" s="11" t="n">
        <v>2.3</v>
      </c>
      <c r="R32" s="29" t="n">
        <f aca="false">G32-P32</f>
        <v>-2.3</v>
      </c>
      <c r="T32" s="14" t="n">
        <v>15</v>
      </c>
    </row>
    <row r="33" customFormat="false" ht="12.75" hidden="false" customHeight="false" outlineLevel="0" collapsed="false">
      <c r="H33" s="14"/>
      <c r="I33" s="21"/>
      <c r="J33" s="14"/>
      <c r="L33" s="14"/>
      <c r="N33" s="14"/>
      <c r="P33" s="11"/>
      <c r="R33" s="14"/>
      <c r="T33" s="14"/>
    </row>
    <row r="34" customFormat="false" ht="12.75" hidden="false" customHeight="false" outlineLevel="0" collapsed="false">
      <c r="B34" s="0" t="s">
        <v>42</v>
      </c>
      <c r="H34" s="14" t="n">
        <v>1.2</v>
      </c>
      <c r="I34" s="21"/>
      <c r="J34" s="15" t="n">
        <v>0</v>
      </c>
      <c r="L34" s="14" t="n">
        <v>0.7</v>
      </c>
      <c r="M34" s="0" t="s">
        <v>12</v>
      </c>
      <c r="N34" s="14" t="n">
        <v>26</v>
      </c>
      <c r="P34" s="11" t="n">
        <v>2.2</v>
      </c>
      <c r="R34" s="29" t="n">
        <f aca="false">G34-P34</f>
        <v>-2.2</v>
      </c>
      <c r="T34" s="14" t="n">
        <v>11</v>
      </c>
    </row>
    <row r="35" customFormat="false" ht="12.75" hidden="false" customHeight="false" outlineLevel="0" collapsed="false">
      <c r="H35" s="14"/>
      <c r="I35" s="21"/>
      <c r="J35" s="14"/>
      <c r="L35" s="14"/>
      <c r="N35" s="14"/>
      <c r="P35" s="11"/>
      <c r="R35" s="29"/>
      <c r="T35" s="14"/>
    </row>
    <row r="36" customFormat="false" ht="12.75" hidden="true" customHeight="false" outlineLevel="0" collapsed="false">
      <c r="B36" s="0" t="s">
        <v>43</v>
      </c>
      <c r="H36" s="14" t="n">
        <v>1.1</v>
      </c>
      <c r="I36" s="21"/>
      <c r="J36" s="15" t="n">
        <v>0</v>
      </c>
      <c r="L36" s="14" t="n">
        <v>0.7</v>
      </c>
      <c r="N36" s="14" t="n">
        <v>27</v>
      </c>
      <c r="P36" s="11" t="n">
        <v>0</v>
      </c>
      <c r="R36" s="29" t="n">
        <f aca="false">G36-P36</f>
        <v>0</v>
      </c>
      <c r="T36" s="14" t="n">
        <v>0</v>
      </c>
    </row>
    <row r="37" customFormat="false" ht="12.75" hidden="true" customHeight="false" outlineLevel="0" collapsed="false">
      <c r="H37" s="14"/>
      <c r="I37" s="21"/>
      <c r="J37" s="14" t="s">
        <v>12</v>
      </c>
      <c r="L37" s="14"/>
      <c r="N37" s="14" t="s">
        <v>12</v>
      </c>
      <c r="P37" s="11"/>
      <c r="R37" s="14"/>
      <c r="T37" s="14" t="s">
        <v>12</v>
      </c>
    </row>
    <row r="38" customFormat="false" ht="12.75" hidden="false" customHeight="false" outlineLevel="0" collapsed="false">
      <c r="B38" s="0" t="s">
        <v>44</v>
      </c>
      <c r="H38" s="14"/>
      <c r="I38" s="21"/>
      <c r="J38" s="15" t="s">
        <v>12</v>
      </c>
      <c r="L38" s="14"/>
      <c r="M38" s="0" t="s">
        <v>12</v>
      </c>
      <c r="N38" s="14"/>
      <c r="P38" s="11"/>
      <c r="R38" s="29"/>
      <c r="T38" s="14"/>
    </row>
    <row r="39" customFormat="false" ht="12.75" hidden="false" customHeight="false" outlineLevel="0" collapsed="false">
      <c r="C39" s="0" t="s">
        <v>45</v>
      </c>
      <c r="H39" s="14" t="n">
        <v>10.2</v>
      </c>
      <c r="I39" s="21"/>
      <c r="J39" s="13" t="s">
        <v>12</v>
      </c>
      <c r="L39" s="30" t="n">
        <v>7.6</v>
      </c>
      <c r="N39" s="11"/>
      <c r="P39" s="11" t="n">
        <f aca="false">(T39/$T$49)*$P$49</f>
        <v>5.35652173913044</v>
      </c>
      <c r="R39" s="29" t="n">
        <f aca="false">G39-P39</f>
        <v>-5.35652173913044</v>
      </c>
      <c r="T39" s="14" t="n">
        <v>32</v>
      </c>
      <c r="U39" s="0" t="n">
        <v>5</v>
      </c>
      <c r="V39" s="0" t="n">
        <v>0.5</v>
      </c>
    </row>
    <row r="40" customFormat="false" ht="12.75" hidden="false" customHeight="false" outlineLevel="0" collapsed="false">
      <c r="C40" s="0" t="s">
        <v>46</v>
      </c>
      <c r="H40" s="14" t="n">
        <v>8.6</v>
      </c>
      <c r="I40" s="21"/>
      <c r="J40" s="13" t="s">
        <v>12</v>
      </c>
      <c r="L40" s="30" t="n">
        <v>6</v>
      </c>
      <c r="N40" s="11"/>
      <c r="P40" s="11" t="n">
        <f aca="false">(T40/$T$49)*$P$49</f>
        <v>6.52826086956522</v>
      </c>
      <c r="R40" s="29" t="n">
        <f aca="false">G40-P40</f>
        <v>-6.52826086956522</v>
      </c>
      <c r="T40" s="14" t="n">
        <v>39</v>
      </c>
      <c r="U40" s="0" t="n">
        <v>4</v>
      </c>
      <c r="V40" s="0" t="n">
        <v>0.5</v>
      </c>
    </row>
    <row r="41" customFormat="false" ht="12.75" hidden="false" customHeight="false" outlineLevel="0" collapsed="false">
      <c r="C41" s="0" t="s">
        <v>47</v>
      </c>
      <c r="H41" s="14" t="n">
        <v>5.9</v>
      </c>
      <c r="I41" s="21"/>
      <c r="J41" s="13" t="s">
        <v>12</v>
      </c>
      <c r="L41" s="30" t="n">
        <v>4</v>
      </c>
      <c r="N41" s="11"/>
      <c r="P41" s="11" t="n">
        <f aca="false">(T41/$T$49)*$P$49</f>
        <v>4.85434782608696</v>
      </c>
      <c r="R41" s="29" t="n">
        <f aca="false">G41-P41</f>
        <v>-4.85434782608696</v>
      </c>
      <c r="T41" s="14" t="n">
        <f aca="false">21+8</f>
        <v>29</v>
      </c>
      <c r="U41" s="0" t="n">
        <v>4</v>
      </c>
      <c r="V41" s="0" t="n">
        <v>0.5</v>
      </c>
    </row>
    <row r="42" customFormat="false" ht="12.75" hidden="false" customHeight="false" outlineLevel="0" collapsed="false">
      <c r="C42" s="0" t="s">
        <v>48</v>
      </c>
      <c r="H42" s="14" t="n">
        <v>3.1</v>
      </c>
      <c r="I42" s="21"/>
      <c r="J42" s="15" t="s">
        <v>12</v>
      </c>
      <c r="L42" s="14" t="n">
        <v>2.7</v>
      </c>
      <c r="N42" s="11"/>
      <c r="P42" s="11" t="n">
        <f aca="false">(T42/$T$49)*$P$49</f>
        <v>1.00434782608696</v>
      </c>
      <c r="R42" s="29" t="n">
        <f aca="false">G42-P42</f>
        <v>-1.00434782608696</v>
      </c>
      <c r="T42" s="14" t="n">
        <v>6</v>
      </c>
      <c r="U42" s="0" t="n">
        <v>4</v>
      </c>
      <c r="V42" s="0" t="n">
        <v>0.5</v>
      </c>
    </row>
    <row r="43" customFormat="false" ht="12.75" hidden="false" customHeight="false" outlineLevel="0" collapsed="false">
      <c r="C43" s="0" t="s">
        <v>49</v>
      </c>
      <c r="H43" s="14" t="n">
        <v>2.7</v>
      </c>
      <c r="I43" s="21"/>
      <c r="J43" s="15" t="s">
        <v>12</v>
      </c>
      <c r="L43" s="14" t="n">
        <v>2.1</v>
      </c>
      <c r="M43" s="32"/>
      <c r="N43" s="11"/>
      <c r="O43" s="32"/>
      <c r="P43" s="11" t="n">
        <f aca="false">(T43/$T$49)*$P$49</f>
        <v>2.34347826086957</v>
      </c>
      <c r="R43" s="29" t="n">
        <f aca="false">G43-P43</f>
        <v>-2.34347826086957</v>
      </c>
      <c r="T43" s="14" t="n">
        <v>14</v>
      </c>
      <c r="U43" s="0" t="n">
        <v>4</v>
      </c>
      <c r="V43" s="0" t="n">
        <v>0.5</v>
      </c>
    </row>
    <row r="44" customFormat="false" ht="12.75" hidden="false" customHeight="false" outlineLevel="0" collapsed="false">
      <c r="C44" s="0" t="s">
        <v>50</v>
      </c>
      <c r="H44" s="14" t="n">
        <v>2.7</v>
      </c>
      <c r="I44" s="21"/>
      <c r="J44" s="15" t="s">
        <v>12</v>
      </c>
      <c r="L44" s="14" t="n">
        <v>2.1</v>
      </c>
      <c r="N44" s="11"/>
      <c r="P44" s="11" t="n">
        <f aca="false">(T44/$T$49)*$P$49</f>
        <v>1.84130434782609</v>
      </c>
      <c r="R44" s="29" t="n">
        <f aca="false">G44-P44</f>
        <v>-1.84130434782609</v>
      </c>
      <c r="T44" s="14" t="n">
        <v>11</v>
      </c>
      <c r="U44" s="0" t="n">
        <v>4</v>
      </c>
      <c r="V44" s="0" t="n">
        <v>0.5</v>
      </c>
    </row>
    <row r="45" customFormat="false" ht="12.75" hidden="false" customHeight="false" outlineLevel="0" collapsed="false">
      <c r="C45" s="0" t="s">
        <v>51</v>
      </c>
      <c r="H45" s="14" t="n">
        <v>2.7</v>
      </c>
      <c r="I45" s="21"/>
      <c r="J45" s="15" t="s">
        <v>12</v>
      </c>
      <c r="L45" s="14" t="n">
        <v>2.5</v>
      </c>
      <c r="N45" s="11"/>
      <c r="P45" s="11" t="n">
        <f aca="false">(T45/$T$49)*$P$49</f>
        <v>1.33913043478261</v>
      </c>
      <c r="R45" s="29" t="n">
        <f aca="false">G45-P45</f>
        <v>-1.33913043478261</v>
      </c>
      <c r="T45" s="14" t="n">
        <v>8</v>
      </c>
      <c r="U45" s="0" t="n">
        <v>5</v>
      </c>
      <c r="V45" s="0" t="n">
        <v>0.5</v>
      </c>
    </row>
    <row r="46" customFormat="false" ht="12.75" hidden="false" customHeight="false" outlineLevel="0" collapsed="false">
      <c r="C46" s="0" t="s">
        <v>52</v>
      </c>
      <c r="H46" s="22" t="n">
        <v>3.3</v>
      </c>
      <c r="I46" s="21"/>
      <c r="J46" s="33" t="s">
        <v>12</v>
      </c>
      <c r="L46" s="22" t="n">
        <v>2.9</v>
      </c>
      <c r="N46" s="23"/>
      <c r="P46" s="11" t="n">
        <f aca="false">(T46/$T$49)*$P$49</f>
        <v>2.34347826086957</v>
      </c>
      <c r="R46" s="29" t="n">
        <f aca="false">G46-P46</f>
        <v>-2.34347826086957</v>
      </c>
      <c r="T46" s="14" t="n">
        <v>14</v>
      </c>
      <c r="U46" s="34" t="n">
        <v>6</v>
      </c>
      <c r="V46" s="0" t="n">
        <v>0.05</v>
      </c>
    </row>
    <row r="47" customFormat="false" ht="12.75" hidden="false" customHeight="false" outlineLevel="0" collapsed="false">
      <c r="C47" s="0" t="s">
        <v>53</v>
      </c>
      <c r="H47" s="14"/>
      <c r="I47" s="21"/>
      <c r="J47" s="15"/>
      <c r="L47" s="14"/>
      <c r="N47" s="11"/>
      <c r="P47" s="11" t="n">
        <f aca="false">(T47/$T$49)*$P$49</f>
        <v>4.85434782608696</v>
      </c>
      <c r="R47" s="29" t="n">
        <f aca="false">G47-P47</f>
        <v>-4.85434782608696</v>
      </c>
      <c r="T47" s="14" t="n">
        <v>29</v>
      </c>
      <c r="U47" s="21"/>
    </row>
    <row r="48" customFormat="false" ht="12.75" hidden="false" customHeight="false" outlineLevel="0" collapsed="false">
      <c r="C48" s="0" t="s">
        <v>54</v>
      </c>
      <c r="H48" s="14"/>
      <c r="I48" s="21"/>
      <c r="J48" s="15"/>
      <c r="L48" s="14"/>
      <c r="N48" s="11"/>
      <c r="P48" s="23" t="n">
        <f aca="false">(T48/$T$49)*$P$49+0.1</f>
        <v>0.434782608695652</v>
      </c>
      <c r="R48" s="24" t="n">
        <f aca="false">G48-P48+0.06</f>
        <v>-0.374782608695652</v>
      </c>
      <c r="T48" s="22" t="n">
        <v>2</v>
      </c>
      <c r="U48" s="21"/>
    </row>
    <row r="49" customFormat="false" ht="12.75" hidden="false" customHeight="false" outlineLevel="0" collapsed="false">
      <c r="H49" s="35" t="n">
        <f aca="false">SUM(H39:H46)</f>
        <v>39.2</v>
      </c>
      <c r="I49" s="36"/>
      <c r="J49" s="37" t="n">
        <v>452</v>
      </c>
      <c r="L49" s="35" t="n">
        <f aca="false">SUM(L39:L46)</f>
        <v>29.9</v>
      </c>
      <c r="N49" s="37"/>
      <c r="P49" s="35" t="n">
        <v>30.8</v>
      </c>
      <c r="R49" s="29" t="n">
        <f aca="false">SUM(R39:R48)</f>
        <v>-30.84</v>
      </c>
      <c r="T49" s="37" t="n">
        <f aca="false">SUM(T39:T48)</f>
        <v>184</v>
      </c>
      <c r="U49" s="0" t="n">
        <v>178</v>
      </c>
      <c r="V49" s="0" t="n">
        <f aca="false">SUM(V39:V46)</f>
        <v>3.55</v>
      </c>
      <c r="W49" s="0" t="s">
        <v>55</v>
      </c>
    </row>
    <row r="50" customFormat="false" ht="12.75" hidden="false" customHeight="false" outlineLevel="0" collapsed="false">
      <c r="H50" s="14"/>
      <c r="I50" s="21"/>
      <c r="J50" s="14"/>
      <c r="L50" s="14"/>
      <c r="N50" s="14"/>
      <c r="P50" s="14"/>
      <c r="R50" s="14"/>
      <c r="T50" s="14"/>
    </row>
    <row r="51" customFormat="false" ht="12.75" hidden="false" customHeight="false" outlineLevel="0" collapsed="false">
      <c r="B51" s="0" t="s">
        <v>56</v>
      </c>
      <c r="H51" s="14" t="n">
        <v>10.7</v>
      </c>
      <c r="I51" s="21"/>
      <c r="J51" s="13" t="n">
        <v>39</v>
      </c>
      <c r="L51" s="14" t="n">
        <v>4.1</v>
      </c>
      <c r="M51" s="0" t="s">
        <v>12</v>
      </c>
      <c r="N51" s="37" t="n">
        <v>105</v>
      </c>
      <c r="P51" s="11" t="n">
        <v>1.6</v>
      </c>
      <c r="R51" s="29" t="n">
        <f aca="false">G51-P51</f>
        <v>-1.6</v>
      </c>
      <c r="T51" s="37" t="n">
        <v>14</v>
      </c>
    </row>
    <row r="52" customFormat="false" ht="12.75" hidden="false" customHeight="false" outlineLevel="0" collapsed="false">
      <c r="H52" s="14"/>
      <c r="I52" s="21"/>
      <c r="J52" s="14"/>
      <c r="L52" s="14"/>
      <c r="N52" s="14"/>
      <c r="P52" s="14"/>
      <c r="R52" s="14"/>
      <c r="T52" s="14"/>
    </row>
    <row r="53" customFormat="false" ht="12.75" hidden="false" customHeight="false" outlineLevel="0" collapsed="false">
      <c r="B53" s="0" t="s">
        <v>57</v>
      </c>
      <c r="H53" s="14" t="n">
        <v>27.5</v>
      </c>
      <c r="I53" s="21"/>
      <c r="J53" s="13" t="n">
        <v>175</v>
      </c>
      <c r="L53" s="30" t="n">
        <v>29</v>
      </c>
      <c r="M53" s="0" t="s">
        <v>12</v>
      </c>
      <c r="N53" s="37"/>
      <c r="P53" s="11" t="n">
        <v>36</v>
      </c>
      <c r="R53" s="29" t="n">
        <f aca="false">G53-P53</f>
        <v>-36</v>
      </c>
      <c r="T53" s="37" t="n">
        <v>140</v>
      </c>
      <c r="U53" s="0" t="s">
        <v>12</v>
      </c>
      <c r="V53" s="0" t="s">
        <v>12</v>
      </c>
    </row>
    <row r="54" customFormat="false" ht="12.75" hidden="false" customHeight="false" outlineLevel="0" collapsed="false">
      <c r="B54" s="0" t="s">
        <v>58</v>
      </c>
      <c r="H54" s="14" t="n">
        <v>48.9</v>
      </c>
      <c r="I54" s="21"/>
      <c r="J54" s="15" t="s">
        <v>12</v>
      </c>
      <c r="L54" s="30" t="n">
        <v>55</v>
      </c>
      <c r="N54" s="37"/>
      <c r="P54" s="11" t="n">
        <v>50.1</v>
      </c>
      <c r="R54" s="29" t="n">
        <f aca="false">G54-P54</f>
        <v>-50.1</v>
      </c>
      <c r="T54" s="37" t="n">
        <v>59</v>
      </c>
    </row>
    <row r="55" customFormat="false" ht="12.75" hidden="true" customHeight="false" outlineLevel="0" collapsed="false">
      <c r="B55" s="0" t="s">
        <v>59</v>
      </c>
      <c r="H55" s="14" t="n">
        <v>1.1</v>
      </c>
      <c r="I55" s="21"/>
      <c r="J55" s="15" t="s">
        <v>12</v>
      </c>
      <c r="L55" s="14" t="n">
        <v>7.7</v>
      </c>
      <c r="N55" s="37"/>
      <c r="P55" s="11" t="n">
        <v>0</v>
      </c>
      <c r="R55" s="29" t="n">
        <f aca="false">G55-P55</f>
        <v>0</v>
      </c>
      <c r="T55" s="37" t="n">
        <v>0</v>
      </c>
    </row>
    <row r="56" customFormat="false" ht="12.75" hidden="false" customHeight="false" outlineLevel="0" collapsed="false">
      <c r="B56" s="0" t="s">
        <v>60</v>
      </c>
      <c r="H56" s="14" t="n">
        <v>0.8</v>
      </c>
      <c r="I56" s="21"/>
      <c r="J56" s="15" t="s">
        <v>12</v>
      </c>
      <c r="L56" s="14" t="n">
        <v>5.2</v>
      </c>
      <c r="N56" s="37"/>
      <c r="P56" s="11" t="n">
        <v>5.9</v>
      </c>
      <c r="R56" s="29" t="n">
        <f aca="false">G56-P56</f>
        <v>-5.9</v>
      </c>
      <c r="T56" s="37" t="n">
        <v>39</v>
      </c>
    </row>
    <row r="57" customFormat="false" ht="12.75" hidden="false" customHeight="false" outlineLevel="0" collapsed="false">
      <c r="H57" s="14"/>
      <c r="I57" s="21"/>
      <c r="J57" s="37"/>
      <c r="L57" s="14"/>
      <c r="N57" s="37"/>
      <c r="P57" s="11"/>
      <c r="R57" s="29"/>
      <c r="T57" s="37"/>
    </row>
    <row r="58" customFormat="false" ht="12.75" hidden="false" customHeight="false" outlineLevel="0" collapsed="false">
      <c r="H58" s="14"/>
      <c r="I58" s="21"/>
      <c r="J58" s="14"/>
      <c r="L58" s="14"/>
      <c r="N58" s="14"/>
      <c r="P58" s="13"/>
      <c r="R58" s="14"/>
      <c r="T58" s="14"/>
    </row>
    <row r="59" customFormat="false" ht="12.75" hidden="false" customHeight="false" outlineLevel="0" collapsed="false">
      <c r="B59" s="0" t="s">
        <v>61</v>
      </c>
      <c r="H59" s="14" t="n">
        <v>2.8</v>
      </c>
      <c r="I59" s="21"/>
      <c r="J59" s="15" t="n">
        <v>0</v>
      </c>
      <c r="L59" s="14" t="n">
        <v>3.5</v>
      </c>
      <c r="M59" s="0" t="s">
        <v>12</v>
      </c>
      <c r="N59" s="37" t="n">
        <v>96</v>
      </c>
      <c r="P59" s="11" t="n">
        <v>4.8</v>
      </c>
      <c r="R59" s="29" t="n">
        <f aca="false">G59-P59</f>
        <v>-4.8</v>
      </c>
      <c r="T59" s="37" t="n">
        <v>33</v>
      </c>
    </row>
    <row r="60" customFormat="false" ht="12.75" hidden="false" customHeight="false" outlineLevel="0" collapsed="false">
      <c r="H60" s="14"/>
      <c r="I60" s="21"/>
      <c r="J60" s="14"/>
      <c r="L60" s="14"/>
      <c r="N60" s="14"/>
      <c r="P60" s="13"/>
      <c r="R60" s="14"/>
      <c r="T60" s="14"/>
    </row>
    <row r="61" customFormat="false" ht="12.75" hidden="false" customHeight="false" outlineLevel="0" collapsed="false">
      <c r="B61" s="0" t="s">
        <v>62</v>
      </c>
      <c r="H61" s="14" t="n">
        <v>39.3</v>
      </c>
      <c r="I61" s="21"/>
      <c r="J61" s="13" t="n">
        <v>90</v>
      </c>
      <c r="L61" s="14" t="n">
        <v>10.1</v>
      </c>
      <c r="M61" s="0" t="s">
        <v>12</v>
      </c>
      <c r="N61" s="37" t="n">
        <v>116</v>
      </c>
      <c r="P61" s="11" t="n">
        <v>9.5</v>
      </c>
      <c r="R61" s="29" t="n">
        <f aca="false">G61-P61</f>
        <v>-9.5</v>
      </c>
      <c r="T61" s="37" t="n">
        <v>21</v>
      </c>
      <c r="U61" s="0" t="s">
        <v>12</v>
      </c>
      <c r="V61" s="0" t="s">
        <v>12</v>
      </c>
    </row>
    <row r="62" customFormat="false" ht="12.75" hidden="false" customHeight="false" outlineLevel="0" collapsed="false">
      <c r="H62" s="14"/>
      <c r="I62" s="21"/>
      <c r="J62" s="37"/>
      <c r="L62" s="14"/>
      <c r="N62" s="37"/>
      <c r="P62" s="11"/>
      <c r="R62" s="29"/>
      <c r="T62" s="37"/>
      <c r="V62" s="0" t="s">
        <v>12</v>
      </c>
    </row>
    <row r="63" customFormat="false" ht="12.75" hidden="false" customHeight="false" outlineLevel="0" collapsed="false">
      <c r="B63" s="0" t="s">
        <v>63</v>
      </c>
      <c r="H63" s="14"/>
      <c r="I63" s="21"/>
      <c r="J63" s="37"/>
      <c r="L63" s="14"/>
      <c r="M63" s="0" t="s">
        <v>12</v>
      </c>
      <c r="N63" s="37"/>
      <c r="P63" s="11"/>
      <c r="R63" s="29"/>
      <c r="T63" s="37"/>
    </row>
    <row r="64" customFormat="false" ht="12.75" hidden="false" customHeight="false" outlineLevel="0" collapsed="false">
      <c r="C64" s="0" t="s">
        <v>64</v>
      </c>
      <c r="H64" s="30" t="n">
        <f aca="false">15.3+0.7</f>
        <v>16</v>
      </c>
      <c r="I64" s="21"/>
      <c r="J64" s="37"/>
      <c r="L64" s="30" t="n">
        <v>6</v>
      </c>
      <c r="N64" s="37"/>
      <c r="P64" s="11" t="n">
        <v>5</v>
      </c>
      <c r="R64" s="29" t="n">
        <f aca="false">G64-P64</f>
        <v>-5</v>
      </c>
      <c r="T64" s="37"/>
    </row>
    <row r="65" customFormat="false" ht="12.75" hidden="false" customHeight="false" outlineLevel="0" collapsed="false">
      <c r="C65" s="0" t="s">
        <v>65</v>
      </c>
      <c r="H65" s="30" t="n">
        <v>1</v>
      </c>
      <c r="I65" s="31"/>
      <c r="J65" s="37"/>
      <c r="L65" s="14" t="n">
        <v>0.8</v>
      </c>
      <c r="N65" s="37"/>
      <c r="P65" s="11" t="n">
        <v>1</v>
      </c>
      <c r="R65" s="29" t="n">
        <f aca="false">G65-P65</f>
        <v>-1</v>
      </c>
      <c r="T65" s="37"/>
    </row>
    <row r="66" customFormat="false" ht="12.75" hidden="false" customHeight="false" outlineLevel="0" collapsed="false">
      <c r="C66" s="0" t="s">
        <v>55</v>
      </c>
      <c r="H66" s="30" t="n">
        <v>1</v>
      </c>
      <c r="I66" s="31"/>
      <c r="J66" s="37"/>
      <c r="L66" s="30" t="n">
        <v>0.1</v>
      </c>
      <c r="N66" s="37"/>
      <c r="P66" s="11" t="n">
        <v>1</v>
      </c>
      <c r="R66" s="29" t="n">
        <f aca="false">G66-P66</f>
        <v>-1</v>
      </c>
      <c r="T66" s="37"/>
    </row>
    <row r="67" customFormat="false" ht="12.75" hidden="false" customHeight="false" outlineLevel="0" collapsed="false">
      <c r="C67" s="0" t="s">
        <v>22</v>
      </c>
      <c r="H67" s="14" t="n">
        <v>0.4</v>
      </c>
      <c r="I67" s="21"/>
      <c r="J67" s="37"/>
      <c r="L67" s="14" t="n">
        <v>0.1</v>
      </c>
      <c r="N67" s="37"/>
      <c r="P67" s="11" t="n">
        <v>0.6</v>
      </c>
      <c r="R67" s="29" t="n">
        <f aca="false">G67-P67</f>
        <v>-0.6</v>
      </c>
      <c r="T67" s="37"/>
    </row>
    <row r="68" customFormat="false" ht="12.75" hidden="false" customHeight="false" outlineLevel="0" collapsed="false">
      <c r="H68" s="14"/>
      <c r="I68" s="21"/>
      <c r="J68" s="37"/>
      <c r="L68" s="14"/>
      <c r="N68" s="37"/>
      <c r="P68" s="11"/>
      <c r="R68" s="29"/>
      <c r="T68" s="37"/>
    </row>
    <row r="69" customFormat="false" ht="12.75" hidden="true" customHeight="false" outlineLevel="0" collapsed="false">
      <c r="B69" s="0" t="s">
        <v>66</v>
      </c>
      <c r="H69" s="14" t="n">
        <f aca="false">7.3-0.4</f>
        <v>6.9</v>
      </c>
      <c r="I69" s="21"/>
      <c r="J69" s="37"/>
      <c r="L69" s="14" t="n">
        <v>37.4</v>
      </c>
      <c r="N69" s="37"/>
      <c r="P69" s="11" t="n">
        <v>0</v>
      </c>
      <c r="R69" s="29"/>
      <c r="T69" s="37"/>
    </row>
    <row r="70" customFormat="false" ht="12.75" hidden="true" customHeight="false" outlineLevel="0" collapsed="false">
      <c r="H70" s="14"/>
      <c r="I70" s="21"/>
      <c r="J70" s="37"/>
      <c r="L70" s="14"/>
      <c r="N70" s="37"/>
      <c r="P70" s="11"/>
      <c r="R70" s="29"/>
      <c r="T70" s="37"/>
    </row>
    <row r="71" customFormat="false" ht="12.75" hidden="true" customHeight="false" outlineLevel="0" collapsed="false">
      <c r="B71" s="0" t="s">
        <v>67</v>
      </c>
      <c r="H71" s="15" t="n">
        <v>0</v>
      </c>
      <c r="I71" s="21"/>
      <c r="J71" s="37"/>
      <c r="L71" s="14" t="n">
        <v>20.9</v>
      </c>
      <c r="N71" s="37"/>
      <c r="P71" s="11"/>
      <c r="R71" s="29"/>
      <c r="T71" s="37"/>
    </row>
    <row r="72" customFormat="false" ht="12.75" hidden="true" customHeight="false" outlineLevel="0" collapsed="false">
      <c r="H72" s="14"/>
      <c r="I72" s="21"/>
      <c r="J72" s="37"/>
      <c r="L72" s="14"/>
      <c r="N72" s="37"/>
      <c r="P72" s="11"/>
      <c r="R72" s="29"/>
      <c r="T72" s="37"/>
    </row>
    <row r="73" customFormat="false" ht="12.75" hidden="false" customHeight="false" outlineLevel="0" collapsed="false">
      <c r="B73" s="0" t="s">
        <v>68</v>
      </c>
      <c r="H73" s="14" t="n">
        <v>0.1</v>
      </c>
      <c r="I73" s="21"/>
      <c r="J73" s="37" t="n">
        <v>0</v>
      </c>
      <c r="L73" s="30" t="n">
        <v>13.6</v>
      </c>
      <c r="N73" s="37" t="n">
        <f aca="false">29+29+10+37+24</f>
        <v>129</v>
      </c>
      <c r="P73" s="11" t="n">
        <f aca="false">4.3+1.1+1</f>
        <v>6.4</v>
      </c>
      <c r="R73" s="29" t="n">
        <f aca="false">G73-P73</f>
        <v>-6.4</v>
      </c>
      <c r="T73" s="37" t="n">
        <f aca="false">29+6+5</f>
        <v>40</v>
      </c>
    </row>
    <row r="74" customFormat="false" ht="12.75" hidden="false" customHeight="false" outlineLevel="0" collapsed="false">
      <c r="H74" s="14"/>
      <c r="I74" s="21"/>
      <c r="J74" s="37"/>
      <c r="L74" s="14"/>
      <c r="N74" s="37"/>
      <c r="P74" s="11"/>
      <c r="R74" s="29"/>
      <c r="T74" s="37"/>
    </row>
    <row r="75" customFormat="false" ht="12.75" hidden="false" customHeight="false" outlineLevel="0" collapsed="false">
      <c r="H75" s="14"/>
      <c r="I75" s="21"/>
      <c r="J75" s="37"/>
      <c r="L75" s="14"/>
      <c r="N75" s="37"/>
      <c r="P75" s="11"/>
      <c r="R75" s="29"/>
      <c r="T75" s="37"/>
    </row>
    <row r="76" customFormat="false" ht="12.75" hidden="false" customHeight="false" outlineLevel="0" collapsed="false">
      <c r="B76" s="0" t="s">
        <v>69</v>
      </c>
      <c r="H76" s="14"/>
      <c r="I76" s="21"/>
      <c r="J76" s="37"/>
      <c r="L76" s="11"/>
      <c r="N76" s="37"/>
      <c r="P76" s="11" t="n">
        <f aca="false">9+2.4+2</f>
        <v>13.4</v>
      </c>
      <c r="R76" s="29" t="n">
        <f aca="false">G76-P76</f>
        <v>-13.4</v>
      </c>
      <c r="T76" s="37"/>
      <c r="U76" s="0" t="s">
        <v>70</v>
      </c>
    </row>
    <row r="77" customFormat="false" ht="12.75" hidden="false" customHeight="false" outlineLevel="0" collapsed="false">
      <c r="H77" s="14"/>
      <c r="I77" s="21"/>
      <c r="J77" s="37"/>
      <c r="L77" s="14"/>
      <c r="N77" s="37"/>
      <c r="P77" s="11"/>
      <c r="R77" s="29"/>
      <c r="T77" s="37"/>
      <c r="U77" s="0" t="s">
        <v>71</v>
      </c>
    </row>
    <row r="78" customFormat="false" ht="12.75" hidden="false" customHeight="false" outlineLevel="0" collapsed="false">
      <c r="B78" s="0" t="s">
        <v>72</v>
      </c>
      <c r="H78" s="14" t="n">
        <v>130.6</v>
      </c>
      <c r="I78" s="21"/>
      <c r="J78" s="14"/>
      <c r="L78" s="11" t="n">
        <v>61.2</v>
      </c>
      <c r="N78" s="14"/>
      <c r="P78" s="11" t="n">
        <v>0</v>
      </c>
      <c r="R78" s="15" t="n">
        <v>0</v>
      </c>
      <c r="T78" s="14"/>
    </row>
    <row r="79" customFormat="false" ht="12.75" hidden="false" customHeight="false" outlineLevel="0" collapsed="false">
      <c r="H79" s="14"/>
      <c r="I79" s="21"/>
      <c r="J79" s="22"/>
      <c r="L79" s="14"/>
      <c r="N79" s="22"/>
      <c r="P79" s="11"/>
      <c r="Q79" s="21"/>
      <c r="R79" s="29"/>
      <c r="T79" s="22"/>
    </row>
    <row r="80" customFormat="false" ht="12.75" hidden="false" customHeight="false" outlineLevel="0" collapsed="false">
      <c r="D80" s="16" t="s">
        <v>73</v>
      </c>
      <c r="H80" s="38" t="n">
        <f aca="false">+H26+H28+H30+H32+H34+H36+H49+H51+H53+H54+H55+H56+H59+H61+H64+H65+H66+H67+H73+H76+H69+H78</f>
        <v>371.1</v>
      </c>
      <c r="I80" s="12"/>
      <c r="J80" s="39" t="n">
        <f aca="false">+J26+J28+J49+J51+J53+J61</f>
        <v>914</v>
      </c>
      <c r="L80" s="38" t="n">
        <f aca="false">+L26+L28+L30+L32+L34+L36+L49+L51+L53+L54+L55+L56+L59+L61+L64+L65+L66+L67+L73+L76+L69+L78+L71</f>
        <v>313.2</v>
      </c>
      <c r="N80" s="39" t="n">
        <f aca="false">+N26+N28+N30+N32+N34+N36+N49+N51+N53+N54+N55+N56+N59+N61+N64+N65+N66+N67+N73+N76+N69+N78</f>
        <v>656</v>
      </c>
      <c r="P80" s="38" t="n">
        <f aca="false">+P26+P28+P30+P32+P34+P36+P49+P51+P53+P54+P55+P56+P59+P61+P64+P65+P66+P67+P73+P76+P69+P78</f>
        <v>181.7</v>
      </c>
      <c r="Q80" s="11" t="s">
        <v>12</v>
      </c>
      <c r="R80" s="40" t="n">
        <f aca="false">+R26+R28+R30+R32+R34+R36+R49+R51+R53+R54+R55+R56+R59+R61+R64+R65+R66+R67+R73+R76</f>
        <v>-181.74</v>
      </c>
      <c r="T80" s="39" t="n">
        <f aca="false">+T26+T28+T30+T32+T34+T36+T49+T51+T53+T54+T55+T56+T59+T61+T64+T65+T66+T67+T73+T76+T69+T78</f>
        <v>621</v>
      </c>
    </row>
    <row r="81" customFormat="false" ht="12.75" hidden="false" customHeight="false" outlineLevel="0" collapsed="false">
      <c r="E81" s="12"/>
      <c r="F81" s="21"/>
      <c r="G81" s="12"/>
      <c r="H81" s="11"/>
      <c r="I81" s="12"/>
      <c r="J81" s="40"/>
      <c r="K81" s="12"/>
      <c r="L81" s="11"/>
      <c r="N81" s="40"/>
      <c r="P81" s="40"/>
      <c r="R81" s="40"/>
      <c r="T81" s="40"/>
    </row>
    <row r="82" customFormat="false" ht="12.75" hidden="false" customHeight="false" outlineLevel="0" collapsed="false">
      <c r="E82" s="12"/>
      <c r="F82" s="21"/>
      <c r="G82" s="12"/>
      <c r="H82" s="11"/>
      <c r="I82" s="12"/>
      <c r="J82" s="11"/>
      <c r="K82" s="12"/>
      <c r="L82" s="11"/>
      <c r="N82" s="11"/>
      <c r="P82" s="11"/>
      <c r="R82" s="11"/>
      <c r="T82" s="11"/>
    </row>
    <row r="83" customFormat="false" ht="12.75" hidden="false" customHeight="false" outlineLevel="0" collapsed="false">
      <c r="D83" s="16" t="s">
        <v>74</v>
      </c>
      <c r="E83" s="26"/>
      <c r="F83" s="21"/>
      <c r="G83" s="25" t="n">
        <f aca="false">G24</f>
        <v>875</v>
      </c>
      <c r="H83" s="41" t="n">
        <f aca="false">H80+H24</f>
        <v>726</v>
      </c>
      <c r="I83" s="36"/>
      <c r="J83" s="42" t="n">
        <f aca="false">J80+J24</f>
        <v>1661</v>
      </c>
      <c r="K83" s="26"/>
      <c r="L83" s="41" t="n">
        <f aca="false">L80+L24</f>
        <v>838</v>
      </c>
      <c r="N83" s="42" t="n">
        <f aca="false">N80+N24</f>
        <v>1214</v>
      </c>
      <c r="P83" s="41" t="n">
        <f aca="false">P80+P24</f>
        <v>227.7</v>
      </c>
      <c r="R83" s="41" t="n">
        <f aca="false">G83-P83</f>
        <v>647.3</v>
      </c>
      <c r="T83" s="42" t="n">
        <f aca="false">T80+T24</f>
        <v>850</v>
      </c>
    </row>
    <row r="84" customFormat="false" ht="12.75" hidden="false" customHeight="false" outlineLevel="0" collapsed="false">
      <c r="F84" s="21"/>
      <c r="G84" s="12"/>
      <c r="H84" s="12"/>
      <c r="I84" s="12"/>
      <c r="J84" s="12"/>
      <c r="K84" s="12"/>
      <c r="L84" s="12"/>
      <c r="P84" s="12"/>
      <c r="R84" s="12"/>
      <c r="T84" s="12"/>
    </row>
    <row r="85" customFormat="false" ht="12.75" hidden="false" customHeight="false" outlineLevel="0" collapsed="false">
      <c r="B85" s="0" t="s">
        <v>75</v>
      </c>
      <c r="G85" s="21"/>
      <c r="H85" s="21"/>
      <c r="I85" s="21"/>
      <c r="J85" s="21"/>
      <c r="K85" s="21"/>
      <c r="L85" s="21"/>
      <c r="P85" s="21"/>
      <c r="Q85" s="21"/>
      <c r="R85" s="21"/>
      <c r="S85" s="21"/>
      <c r="T85" s="21"/>
    </row>
    <row r="86" customFormat="false" ht="12.75" hidden="false" customHeight="false" outlineLevel="0" collapsed="false">
      <c r="B86" s="0" t="s">
        <v>76</v>
      </c>
      <c r="G86" s="21"/>
      <c r="H86" s="21"/>
      <c r="I86" s="21"/>
      <c r="J86" s="21"/>
      <c r="K86" s="21"/>
      <c r="L86" s="21"/>
    </row>
    <row r="87" customFormat="false" ht="12.75" hidden="false" customHeight="false" outlineLevel="0" collapsed="false">
      <c r="B87" s="0" t="s">
        <v>77</v>
      </c>
      <c r="G87" s="21"/>
      <c r="H87" s="21"/>
      <c r="I87" s="21"/>
      <c r="J87" s="21"/>
      <c r="K87" s="21"/>
      <c r="L87" s="21"/>
    </row>
    <row r="88" customFormat="false" ht="12.75" hidden="false" customHeight="false" outlineLevel="0" collapsed="false">
      <c r="B88" s="0" t="s">
        <v>78</v>
      </c>
      <c r="G88" s="21"/>
      <c r="H88" s="21"/>
      <c r="I88" s="21"/>
      <c r="J88" s="21"/>
      <c r="K88" s="21"/>
      <c r="L88" s="21"/>
    </row>
  </sheetData>
  <mergeCells count="2">
    <mergeCell ref="A1:T1"/>
    <mergeCell ref="A2:T2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22.28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false" outlineLevel="0" max="14" min="14" style="0" width="20.99"/>
    <col collapsed="false" customWidth="true" hidden="false" outlineLevel="0" max="15" min="15" style="0" width="18.99"/>
    <col collapsed="false" customWidth="true" hidden="false" outlineLevel="0" max="16" min="16" style="0" width="28.41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174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Q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Q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v>0</v>
      </c>
      <c r="I8" s="52" t="s">
        <v>96</v>
      </c>
      <c r="J8" s="43" t="n">
        <v>0</v>
      </c>
      <c r="L8" s="53" t="n">
        <f aca="false">L30</f>
        <v>128304</v>
      </c>
      <c r="Q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8" t="n">
        <v>0</v>
      </c>
      <c r="G9" s="59" t="n">
        <f aca="false">E9/$E$23</f>
        <v>0</v>
      </c>
      <c r="H9" s="58" t="n">
        <v>0</v>
      </c>
      <c r="I9" s="52"/>
      <c r="L9" s="53"/>
      <c r="Q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8"/>
      <c r="E10" s="58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9" t="n">
        <f aca="false">E10/$E$23</f>
        <v>0.00377976191391553</v>
      </c>
      <c r="H10" s="58" t="n">
        <f aca="false">L21+L22</f>
        <v>89100</v>
      </c>
      <c r="I10" s="52"/>
      <c r="L10" s="53"/>
      <c r="Q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+H10*0.2+6384</f>
        <v>24204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1</v>
      </c>
      <c r="L11" s="53" t="n">
        <f aca="false">J11*K11</f>
        <v>48270.18125</v>
      </c>
      <c r="N11" s="61"/>
      <c r="O11" s="61"/>
      <c r="P11" s="61"/>
      <c r="Q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f aca="false">(E12/$E$29)*$K$11</f>
        <v>6162.47375</v>
      </c>
      <c r="I12" s="52"/>
      <c r="L12" s="53"/>
      <c r="N12" s="61"/>
      <c r="O12" s="61"/>
      <c r="P12" s="61"/>
      <c r="Q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v>15000</v>
      </c>
      <c r="I13" s="63" t="s">
        <v>105</v>
      </c>
      <c r="J13" s="64"/>
      <c r="K13" s="64"/>
      <c r="L13" s="65" t="n">
        <f aca="false">L8+L11</f>
        <v>176574.18125</v>
      </c>
      <c r="N13" s="61"/>
      <c r="O13" s="61"/>
      <c r="P13" s="61"/>
      <c r="Q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f aca="false">(E14/$E$29)*$K$11</f>
        <v>0.00200000000016492</v>
      </c>
      <c r="N14" s="61"/>
      <c r="O14" s="61"/>
      <c r="P14" s="61"/>
      <c r="Q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f aca="false">(E15/$E$29)*$K$11</f>
        <v>871.358333333333</v>
      </c>
      <c r="N15" s="61"/>
      <c r="O15" s="61"/>
      <c r="P15" s="61"/>
      <c r="Q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f aca="false">(E16/$E$29)*$K$11</f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N16" s="61"/>
      <c r="O16" s="61"/>
      <c r="P16" s="61"/>
      <c r="Q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f aca="false">(E17/$E$29)*$K$11</f>
        <v>49.1666666666667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N17" s="61"/>
      <c r="O17" s="61"/>
      <c r="P17" s="61"/>
      <c r="Q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f aca="false">(E18/$E$29)*$K$11</f>
        <v>892.957666666667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N18" s="61"/>
      <c r="O18" s="61"/>
      <c r="P18" s="61"/>
      <c r="Q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f aca="false">(E19/$E$29)*$K$11</f>
        <v>910.086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Q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f aca="false">(E20/$E$29)*$K$11</f>
        <v>0.133333333333333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Q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f aca="false">(E21/$E$29)*$K$11</f>
        <v>1131.57425</v>
      </c>
      <c r="I21" s="43" t="s">
        <v>127</v>
      </c>
      <c r="J21" s="43" t="n">
        <v>60500</v>
      </c>
      <c r="K21" s="43" t="n">
        <v>0</v>
      </c>
      <c r="L21" s="43" t="n">
        <f aca="false">J21*K21</f>
        <v>0</v>
      </c>
      <c r="P21" s="21"/>
      <c r="Q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1</v>
      </c>
      <c r="L22" s="43" t="n">
        <f aca="false">J22*K22</f>
        <v>89100</v>
      </c>
      <c r="P22" s="21"/>
      <c r="Q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138321.752</v>
      </c>
      <c r="I23" s="43" t="s">
        <v>133</v>
      </c>
      <c r="J23" s="43" t="n">
        <v>110000</v>
      </c>
      <c r="K23" s="43" t="n">
        <v>0</v>
      </c>
      <c r="L23" s="43" t="n">
        <f aca="false">J23*K23</f>
        <v>0</v>
      </c>
      <c r="P23" s="21"/>
      <c r="Q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0</v>
      </c>
      <c r="L24" s="43" t="n">
        <f aca="false">J24*K24</f>
        <v>0</v>
      </c>
      <c r="P24" s="21"/>
      <c r="Q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1" t="n">
        <f aca="false">+K16+K17+K18+K19+K20+K23+K24+K25+K26+K27</f>
        <v>0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P25" s="21"/>
      <c r="Q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0</v>
      </c>
      <c r="L26" s="43" t="n">
        <f aca="false">J26*K26</f>
        <v>0</v>
      </c>
      <c r="P26" s="21"/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1" t="n">
        <f aca="false">+K21+K22</f>
        <v>1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P27" s="21"/>
      <c r="Q27" s="58"/>
    </row>
    <row r="28" customFormat="false" ht="12.75" hidden="false" customHeight="false" outlineLevel="0" collapsed="false">
      <c r="K28" s="43" t="n">
        <f aca="false">SUM(K16:K27)</f>
        <v>1</v>
      </c>
      <c r="L28" s="43" t="n">
        <f aca="false">SUM(L16:L27)*1.2</f>
        <v>106920</v>
      </c>
      <c r="P28" s="21"/>
      <c r="Q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1</v>
      </c>
      <c r="L29" s="72" t="n">
        <v>0.2</v>
      </c>
      <c r="P29" s="21"/>
      <c r="Q29" s="58"/>
    </row>
    <row r="30" customFormat="false" ht="12.75" hidden="true" customHeight="false" outlineLevel="0" collapsed="false">
      <c r="L30" s="43" t="n">
        <f aca="false">L28*1.2</f>
        <v>128304</v>
      </c>
      <c r="P30" s="21"/>
      <c r="Q30" s="21"/>
    </row>
    <row r="31" customFormat="false" ht="12.75" hidden="true" customHeight="false" outlineLevel="0" collapsed="false">
      <c r="H31" s="16" t="s">
        <v>140</v>
      </c>
      <c r="L31" s="0"/>
      <c r="P31" s="21"/>
      <c r="Q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P32" s="21"/>
      <c r="Q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P33" s="21"/>
      <c r="Q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1</v>
      </c>
      <c r="L34" s="74" t="n">
        <f aca="false">+J34*K34</f>
        <v>48270.18125</v>
      </c>
      <c r="P34" s="21"/>
      <c r="Q34" s="21"/>
    </row>
    <row r="35" customFormat="false" ht="12.75" hidden="true" customHeight="false" outlineLevel="0" collapsed="false">
      <c r="P35" s="21"/>
      <c r="Q35" s="21"/>
    </row>
    <row r="36" customFormat="false" ht="12.75" hidden="true" customHeight="false" outlineLevel="0" collapsed="false">
      <c r="P36" s="21"/>
      <c r="Q36" s="21"/>
    </row>
    <row r="37" customFormat="false" ht="12.75" hidden="true" customHeight="false" outlineLevel="0" collapsed="false">
      <c r="P37" s="21"/>
      <c r="Q37" s="21"/>
    </row>
    <row r="38" customFormat="false" ht="12.75" hidden="true" customHeight="false" outlineLevel="0" collapsed="false">
      <c r="P38" s="21"/>
      <c r="Q38" s="21"/>
    </row>
    <row r="39" customFormat="false" ht="12.75" hidden="false" customHeight="false" outlineLevel="0" collapsed="false">
      <c r="P39" s="21"/>
      <c r="Q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4" activeCellId="0" sqref="M4:M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41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false" outlineLevel="0" max="14" min="14" style="0" width="16.84"/>
    <col collapsed="false" customWidth="true" hidden="false" outlineLevel="0" max="15" min="15" style="0" width="15.85"/>
    <col collapsed="false" customWidth="true" hidden="false" outlineLevel="0" max="16" min="16" style="0" width="13.99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149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Q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Q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f aca="false">L28-H10</f>
        <v>1037520</v>
      </c>
      <c r="I8" s="52" t="s">
        <v>96</v>
      </c>
      <c r="J8" s="43" t="n">
        <v>0</v>
      </c>
      <c r="L8" s="53" t="n">
        <f aca="false">L30</f>
        <v>1351944</v>
      </c>
      <c r="Q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8" t="n">
        <v>0</v>
      </c>
      <c r="G9" s="59" t="n">
        <f aca="false">E9/$E$23</f>
        <v>0</v>
      </c>
      <c r="H9" s="58" t="n">
        <v>0</v>
      </c>
      <c r="I9" s="52"/>
      <c r="L9" s="53"/>
      <c r="Q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8"/>
      <c r="E10" s="58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9" t="n">
        <f aca="false">E10/$E$23</f>
        <v>0.00377976191391553</v>
      </c>
      <c r="H10" s="58" t="n">
        <f aca="false">L21+L22</f>
        <v>89100</v>
      </c>
      <c r="I10" s="52"/>
      <c r="L10" s="53"/>
      <c r="Q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L30-L28</f>
        <v>225324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7</v>
      </c>
      <c r="L11" s="53" t="n">
        <f aca="false">J11*K11</f>
        <v>337891.26875</v>
      </c>
      <c r="N11" s="61"/>
      <c r="O11" s="61"/>
      <c r="P11" s="61"/>
      <c r="Q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f aca="false">(E12/$E$29)*$K$11</f>
        <v>43137.31625</v>
      </c>
      <c r="I12" s="52"/>
      <c r="L12" s="53"/>
      <c r="N12" s="61"/>
      <c r="O12" s="61"/>
      <c r="P12" s="61"/>
      <c r="Q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f aca="false">(E13/$E$29)*$K$11</f>
        <v>38394.6984166667</v>
      </c>
      <c r="I13" s="63" t="s">
        <v>105</v>
      </c>
      <c r="J13" s="64"/>
      <c r="K13" s="64"/>
      <c r="L13" s="65" t="n">
        <f aca="false">L8+L11</f>
        <v>1689835.26875</v>
      </c>
      <c r="N13" s="61"/>
      <c r="O13" s="61"/>
      <c r="P13" s="61"/>
      <c r="Q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f aca="false">(E14/$E$29)*$K$11</f>
        <v>0.0140000000011545</v>
      </c>
      <c r="N14" s="61"/>
      <c r="O14" s="61"/>
      <c r="P14" s="61"/>
      <c r="Q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f aca="false">(E15/$E$29)*$K$11</f>
        <v>6099.50833333333</v>
      </c>
      <c r="N15" s="61"/>
      <c r="O15" s="61"/>
      <c r="P15" s="61"/>
      <c r="Q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f aca="false">(E16/$E$29)*$K$11</f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N16" s="61"/>
      <c r="O16" s="61"/>
      <c r="P16" s="61"/>
      <c r="Q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f aca="false">(E17/$E$29)*$K$11</f>
        <v>344.166666666667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N17" s="77"/>
      <c r="O17" s="77"/>
      <c r="P17" s="61"/>
      <c r="Q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f aca="false">(E18/$E$29)*$K$11</f>
        <v>6250.70366666667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Q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f aca="false">(E19/$E$29)*$K$11</f>
        <v>6370.602</v>
      </c>
      <c r="I19" s="43" t="s">
        <v>121</v>
      </c>
      <c r="J19" s="43" t="n">
        <v>57750</v>
      </c>
      <c r="K19" s="43" t="n">
        <v>1</v>
      </c>
      <c r="L19" s="43" t="n">
        <f aca="false">J19*K19</f>
        <v>57750</v>
      </c>
      <c r="Q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f aca="false">(E20/$E$29)*$K$11</f>
        <v>0.933333333333333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Q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f aca="false">(E21/$E$29)*$K$11</f>
        <v>7921.01974999999</v>
      </c>
      <c r="I21" s="43" t="s">
        <v>127</v>
      </c>
      <c r="J21" s="43" t="n">
        <v>60500</v>
      </c>
      <c r="K21" s="43" t="n">
        <v>0</v>
      </c>
      <c r="L21" s="43" t="n">
        <f aca="false">J21*K21</f>
        <v>0</v>
      </c>
      <c r="P21" s="21"/>
      <c r="Q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1</v>
      </c>
      <c r="L22" s="43" t="n">
        <f aca="false">J22*K22</f>
        <v>89100</v>
      </c>
      <c r="P22" s="21"/>
      <c r="Q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1460462.96241667</v>
      </c>
      <c r="I23" s="43" t="s">
        <v>133</v>
      </c>
      <c r="J23" s="43" t="n">
        <v>110000</v>
      </c>
      <c r="K23" s="43" t="n">
        <v>1</v>
      </c>
      <c r="L23" s="43" t="n">
        <f aca="false">J23*K23</f>
        <v>110000</v>
      </c>
      <c r="P23" s="21"/>
      <c r="Q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2</v>
      </c>
      <c r="L24" s="43" t="n">
        <f aca="false">J24*K24</f>
        <v>286000</v>
      </c>
      <c r="P24" s="21"/>
      <c r="Q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1" t="n">
        <f aca="false">+K16+K17+K18+K19+K20+K23+K24+K25+K26+K27</f>
        <v>6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P25" s="21"/>
      <c r="Q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2</v>
      </c>
      <c r="L26" s="43" t="n">
        <f aca="false">J26*K26</f>
        <v>396000</v>
      </c>
      <c r="P26" s="21"/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1" t="n">
        <f aca="false">+K21+K22</f>
        <v>1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P27" s="21"/>
      <c r="Q27" s="58"/>
    </row>
    <row r="28" customFormat="false" ht="12.75" hidden="false" customHeight="false" outlineLevel="0" collapsed="false">
      <c r="K28" s="43" t="n">
        <f aca="false">SUM(K16:K27)</f>
        <v>7</v>
      </c>
      <c r="L28" s="43" t="n">
        <f aca="false">SUM(L16:L27)*1.2</f>
        <v>1126620</v>
      </c>
      <c r="P28" s="21"/>
      <c r="Q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7</v>
      </c>
      <c r="L29" s="72" t="n">
        <v>0.2</v>
      </c>
      <c r="P29" s="21"/>
      <c r="Q29" s="58"/>
    </row>
    <row r="30" customFormat="false" ht="12.75" hidden="true" customHeight="false" outlineLevel="0" collapsed="false">
      <c r="L30" s="43" t="n">
        <f aca="false">L28*1.2</f>
        <v>1351944</v>
      </c>
      <c r="P30" s="21"/>
      <c r="Q30" s="21"/>
    </row>
    <row r="31" customFormat="false" ht="12.75" hidden="true" customHeight="false" outlineLevel="0" collapsed="false">
      <c r="H31" s="16" t="s">
        <v>140</v>
      </c>
      <c r="L31" s="0"/>
      <c r="P31" s="21"/>
      <c r="Q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P32" s="21"/>
      <c r="Q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P33" s="21"/>
      <c r="Q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7</v>
      </c>
      <c r="L34" s="74" t="n">
        <f aca="false">+J34*K34</f>
        <v>337891.26875</v>
      </c>
      <c r="P34" s="21"/>
      <c r="Q34" s="21"/>
    </row>
    <row r="35" customFormat="false" ht="12.75" hidden="true" customHeight="false" outlineLevel="0" collapsed="false">
      <c r="P35" s="21"/>
      <c r="Q35" s="21"/>
    </row>
    <row r="36" customFormat="false" ht="12.75" hidden="true" customHeight="false" outlineLevel="0" collapsed="false">
      <c r="P36" s="21"/>
      <c r="Q36" s="21"/>
    </row>
    <row r="37" customFormat="false" ht="12.75" hidden="true" customHeight="false" outlineLevel="0" collapsed="false">
      <c r="P37" s="21"/>
      <c r="Q37" s="21"/>
    </row>
    <row r="38" customFormat="false" ht="12.75" hidden="true" customHeight="false" outlineLevel="0" collapsed="false">
      <c r="P38" s="21"/>
      <c r="Q38" s="21"/>
    </row>
    <row r="39" customFormat="false" ht="12.75" hidden="false" customHeight="false" outlineLevel="0" collapsed="false">
      <c r="P39" s="21"/>
      <c r="Q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36" min="15" style="0" width="9.14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customFormat="false" ht="18" hidden="false" customHeight="false" outlineLevel="0" collapsed="false">
      <c r="B2" s="44" t="s">
        <v>175</v>
      </c>
      <c r="C2" s="44"/>
      <c r="D2" s="44"/>
      <c r="E2" s="44"/>
      <c r="F2" s="44"/>
      <c r="G2" s="44"/>
      <c r="H2" s="44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customFormat="false" ht="12.75" hidden="false" customHeight="false" outlineLevel="0" collapsed="false">
      <c r="J4" s="79"/>
      <c r="K4" s="80"/>
      <c r="L4" s="80"/>
      <c r="M4" s="81"/>
    </row>
    <row r="5" customFormat="false" ht="12.75" hidden="false" customHeight="false" outlineLevel="0" collapsed="false">
      <c r="J5" s="82"/>
      <c r="K5" s="21" t="s">
        <v>85</v>
      </c>
      <c r="L5" s="21" t="s">
        <v>86</v>
      </c>
      <c r="M5" s="8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F6" s="54" t="s">
        <v>90</v>
      </c>
      <c r="H6" s="84" t="s">
        <v>89</v>
      </c>
      <c r="J6" s="82"/>
      <c r="K6" s="21"/>
      <c r="L6" s="21"/>
      <c r="M6" s="83"/>
      <c r="O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 t="s">
        <v>94</v>
      </c>
      <c r="H7" s="84" t="s">
        <v>93</v>
      </c>
      <c r="J7" s="82"/>
      <c r="K7" s="21"/>
      <c r="L7" s="21"/>
      <c r="M7" s="8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58" t="n">
        <f aca="false">(C8/9)*12</f>
        <v>8854366.4</v>
      </c>
      <c r="F8" s="58" t="n">
        <f aca="false">'East Power Trading'!F8+'East Power Origination'!F8+'East Power A&amp;A'!F8+'East Power Admins'!F8</f>
        <v>6382800</v>
      </c>
      <c r="H8" s="85" t="n">
        <f aca="false">E8/$E$23</f>
        <v>0.43476545989392</v>
      </c>
      <c r="J8" s="82" t="s">
        <v>96</v>
      </c>
      <c r="K8" s="43" t="n">
        <v>0</v>
      </c>
      <c r="L8" s="21"/>
      <c r="M8" s="86" t="n">
        <f aca="false">M28*1.2</f>
        <v>9273600</v>
      </c>
      <c r="O8" s="58" t="n">
        <f aca="false">+F8/$F$29*$O$29</f>
        <v>98196.9230769231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58" t="n">
        <f aca="false">C9</f>
        <v>1460000</v>
      </c>
      <c r="F9" s="58" t="n">
        <f aca="false">'East Power Trading'!F9+'East Power Origination'!F9+'East Power A&amp;A'!F9+'East Power Admins'!F9</f>
        <v>0</v>
      </c>
      <c r="H9" s="85" t="n">
        <f aca="false">E9/$E$23</f>
        <v>0.0716886497316311</v>
      </c>
      <c r="J9" s="82"/>
      <c r="K9" s="21"/>
      <c r="L9" s="21"/>
      <c r="M9" s="83"/>
      <c r="O9" s="58" t="n">
        <f aca="false">+F9/$F$29*$O$29</f>
        <v>0</v>
      </c>
    </row>
    <row r="10" customFormat="false" ht="12.75" hidden="false" customHeight="false" outlineLevel="0" collapsed="false">
      <c r="A10" s="56"/>
      <c r="B10" s="57" t="s">
        <v>176</v>
      </c>
      <c r="C10" s="58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58" t="n">
        <f aca="false">(C10/9)*12</f>
        <v>3536680</v>
      </c>
      <c r="F10" s="58" t="n">
        <f aca="false">'East Power Trading'!F10+'East Power Origination'!F10+'East Power A&amp;A'!F10+'East Power Admins'!F10</f>
        <v>1465200</v>
      </c>
      <c r="H10" s="85" t="n">
        <f aca="false">E10/$E$23</f>
        <v>0.173657406666346</v>
      </c>
      <c r="J10" s="82"/>
      <c r="K10" s="21"/>
      <c r="L10" s="21"/>
      <c r="M10" s="83"/>
      <c r="O10" s="58" t="n">
        <f aca="false">+F10/$F$29*$O$29</f>
        <v>22541.5384615385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58" t="n">
        <f aca="false">(C11/9)*12</f>
        <v>2048457.94666667</v>
      </c>
      <c r="F11" s="58" t="n">
        <f aca="false">'East Power Trading'!F11+'East Power Origination'!F11+'East Power A&amp;A'!F11+'East Power Admins'!F11</f>
        <v>1569600</v>
      </c>
      <c r="H11" s="85" t="n">
        <f aca="false">E11/$E$23</f>
        <v>0.100583002896276</v>
      </c>
      <c r="J11" s="82" t="s">
        <v>67</v>
      </c>
      <c r="K11" s="43" t="n">
        <f aca="false">(E12+E13+E14+E15+E16+E17+E18+E19+E20+E21+E22)/E29</f>
        <v>31676.1819007092</v>
      </c>
      <c r="L11" s="21" t="n">
        <f aca="false">L28</f>
        <v>64</v>
      </c>
      <c r="M11" s="86" t="n">
        <f aca="false">K11*L11</f>
        <v>2027275.64164539</v>
      </c>
      <c r="O11" s="58" t="n">
        <f aca="false">+F11/$F$29*$O$29</f>
        <v>24147.6923076923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2" t="n">
        <f aca="false">(C12/9)*12*1.2</f>
        <v>890331.52</v>
      </c>
      <c r="F12" s="58" t="n">
        <f aca="false">'East Power Trading'!F12+'East Power Origination'!F12+'East Power A&amp;A'!F12+'East Power Admins'!F12</f>
        <v>358375.516312057</v>
      </c>
      <c r="H12" s="85" t="n">
        <f aca="false">E12/$E$23</f>
        <v>0.0437168934810347</v>
      </c>
      <c r="J12" s="82"/>
      <c r="K12" s="21"/>
      <c r="L12" s="21"/>
      <c r="M12" s="83"/>
      <c r="O12" s="58" t="n">
        <f aca="false">+F12/$F$29*$O$29</f>
        <v>5513.46948172395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2" t="n">
        <f aca="false">(C13/9)*12*1.2</f>
        <v>1622984.656</v>
      </c>
      <c r="F13" s="58" t="n">
        <f aca="false">'East Power Trading'!F13+'East Power Origination'!F13+'East Power A&amp;A'!F13+'East Power Admins'!F13</f>
        <v>950210.415886525</v>
      </c>
      <c r="H13" s="85" t="n">
        <f aca="false">E13/$E$23</f>
        <v>0.0796914921395861</v>
      </c>
      <c r="J13" s="87" t="s">
        <v>105</v>
      </c>
      <c r="K13" s="88"/>
      <c r="L13" s="88"/>
      <c r="M13" s="89" t="n">
        <f aca="false">M8+M11</f>
        <v>11300875.6416454</v>
      </c>
      <c r="O13" s="58" t="n">
        <f aca="false">+F13/$F$29*$O$29</f>
        <v>14618.6217828696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2" t="n">
        <f aca="false">(C14/9)*12*1.2</f>
        <v>0.608000000193715</v>
      </c>
      <c r="F14" s="58" t="n">
        <f aca="false">'East Power Trading'!F14+'East Power Origination'!F14+'East Power A&amp;A'!F14+'East Power Admins'!F14</f>
        <v>500000.142297872</v>
      </c>
      <c r="H14" s="85" t="n">
        <f aca="false">E14/$E$23</f>
        <v>2.98539034593965E-008</v>
      </c>
      <c r="N14" s="60"/>
      <c r="O14" s="58" t="n">
        <f aca="false">+F14/$F$29*$O$29</f>
        <v>7692.30988150573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2" t="n">
        <f aca="false">(C15/9)*12*1.2</f>
        <v>149163.408</v>
      </c>
      <c r="F15" s="58" t="n">
        <f aca="false">'East Power Trading'!F15+'East Power Origination'!F15+'East Power A&amp;A'!F15+'East Power Admins'!F15</f>
        <v>68763.2731914894</v>
      </c>
      <c r="H15" s="85" t="n">
        <f aca="false">E15/$E$23</f>
        <v>0.00732419404718382</v>
      </c>
      <c r="K15" s="43"/>
      <c r="O15" s="58" t="n">
        <f aca="false">+F15/$F$29*$O$29</f>
        <v>1057.8965106383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2" t="n">
        <f aca="false">(C16/9)*12*1.2</f>
        <v>0</v>
      </c>
      <c r="F16" s="58" t="n">
        <f aca="false">'East Power Trading'!F16+'East Power Origination'!F16+'East Power A&amp;A'!F16+'East Power Admins'!F16</f>
        <v>0</v>
      </c>
      <c r="H16" s="85" t="n">
        <f aca="false">E16/$E$23</f>
        <v>0</v>
      </c>
      <c r="J16" s="0" t="s">
        <v>177</v>
      </c>
      <c r="K16" s="43" t="n">
        <v>33600</v>
      </c>
      <c r="L16" s="0" t="n">
        <v>2</v>
      </c>
      <c r="M16" s="43" t="n">
        <f aca="false">K16*L16</f>
        <v>67200</v>
      </c>
      <c r="O16" s="58" t="n">
        <f aca="false">+F16/$F$29*$O$29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2" t="n">
        <f aca="false">(C17/9)*12*1.2</f>
        <v>8480</v>
      </c>
      <c r="F17" s="58" t="n">
        <f aca="false">'East Power Trading'!F17+'East Power Origination'!F17+'East Power A&amp;A'!F17+'East Power Admins'!F17</f>
        <v>3909.21985815603</v>
      </c>
      <c r="H17" s="85" t="n">
        <f aca="false">E17/$E$23</f>
        <v>0.000416383390222076</v>
      </c>
      <c r="J17" s="0" t="s">
        <v>115</v>
      </c>
      <c r="K17" s="43" t="n">
        <v>52800</v>
      </c>
      <c r="L17" s="0" t="n">
        <v>2</v>
      </c>
      <c r="M17" s="43" t="n">
        <f aca="false">K17*L17</f>
        <v>105600</v>
      </c>
      <c r="O17" s="58" t="n">
        <f aca="false">+F17/$F$29*$O$29</f>
        <v>60.1418439716312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2" t="n">
        <f aca="false">(C18/9)*12*1.2</f>
        <v>459.663999999995</v>
      </c>
      <c r="F18" s="58" t="n">
        <f aca="false">'East Power Trading'!F18+'East Power Origination'!F18+'East Power A&amp;A'!F18+'East Power Admins'!F18</f>
        <v>211.901843971629</v>
      </c>
      <c r="H18" s="85" t="n">
        <f aca="false">E18/$E$23</f>
        <v>2.25703366371507E-005</v>
      </c>
      <c r="J18" s="0" t="s">
        <v>118</v>
      </c>
      <c r="K18" s="43" t="n">
        <v>54000</v>
      </c>
      <c r="L18" s="0" t="n">
        <f aca="false">1</f>
        <v>1</v>
      </c>
      <c r="M18" s="43" t="n">
        <f aca="false">K18*L18</f>
        <v>54000</v>
      </c>
      <c r="O18" s="58" t="n">
        <f aca="false">+F18/$F$29*$O$29</f>
        <v>3.26002836879429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2" t="n">
        <f aca="false">(C19/9)*12*1.2</f>
        <v>779438.72</v>
      </c>
      <c r="F19" s="58" t="n">
        <f aca="false">'East Power Trading'!F19+'East Power Origination'!F19+'East Power A&amp;A'!F19+'East Power Admins'!F19</f>
        <v>359315.721985816</v>
      </c>
      <c r="H19" s="85" t="n">
        <f aca="false">E19/$E$23</f>
        <v>0.038271855743391</v>
      </c>
      <c r="J19" s="0" t="s">
        <v>121</v>
      </c>
      <c r="K19" s="43" t="n">
        <v>63000</v>
      </c>
      <c r="L19" s="0" t="n">
        <v>0</v>
      </c>
      <c r="M19" s="43" t="n">
        <f aca="false">K19*L19</f>
        <v>0</v>
      </c>
      <c r="O19" s="58" t="n">
        <f aca="false">+F19/$F$29*$O$29</f>
        <v>5527.93418439716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2" t="n">
        <f aca="false">(C20/9)*12*1.2</f>
        <v>125.088</v>
      </c>
      <c r="F20" s="58" t="n">
        <f aca="false">'East Power Trading'!F20+'East Power Origination'!F20+'East Power A&amp;A'!F20+'East Power Admins'!F20</f>
        <v>29.275914893617</v>
      </c>
      <c r="H20" s="85" t="n">
        <f aca="false">E20/$E$23</f>
        <v>6.1420478202947E-006</v>
      </c>
      <c r="J20" s="0" t="s">
        <v>124</v>
      </c>
      <c r="K20" s="43" t="n">
        <v>78000</v>
      </c>
      <c r="L20" s="0" t="n">
        <f aca="false">6</f>
        <v>6</v>
      </c>
      <c r="M20" s="43" t="n">
        <f aca="false">K20*L20</f>
        <v>468000</v>
      </c>
      <c r="O20" s="58" t="n">
        <f aca="false">+F20/$F$29*$O$29</f>
        <v>0.450398690671031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2" t="n">
        <f aca="false">(C21/9)*12*1.2</f>
        <v>1013453.6</v>
      </c>
      <c r="F21" s="58" t="n">
        <f aca="false">'East Power Trading'!F21+'East Power Origination'!F21+'East Power A&amp;A'!F21+'East Power Admins'!F21</f>
        <v>467194.921985816</v>
      </c>
      <c r="H21" s="85" t="n">
        <f aca="false">E21/$E$23</f>
        <v>0.0497624110614113</v>
      </c>
      <c r="J21" s="0" t="s">
        <v>127</v>
      </c>
      <c r="K21" s="43" t="n">
        <v>66000</v>
      </c>
      <c r="L21" s="0" t="n">
        <f aca="false">6</f>
        <v>6</v>
      </c>
      <c r="M21" s="43" t="n">
        <f aca="false">K21*L21</f>
        <v>396000</v>
      </c>
      <c r="O21" s="58" t="n">
        <f aca="false">+F21/$F$29*$O$29</f>
        <v>7187.61418439716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2" t="n">
        <f aca="false">(C22/9)*12*1.2</f>
        <v>1904.384</v>
      </c>
      <c r="F22" s="58" t="n">
        <f aca="false">'East Power Trading'!F22+'East Power Origination'!F22+'East Power A&amp;A'!F22+'East Power Admins'!F22</f>
        <v>877.907517730496</v>
      </c>
      <c r="H22" s="85" t="n">
        <f aca="false">E22/$E$23</f>
        <v>9.35087106373442E-005</v>
      </c>
      <c r="J22" s="0" t="s">
        <v>130</v>
      </c>
      <c r="K22" s="43" t="n">
        <v>97200</v>
      </c>
      <c r="L22" s="0" t="n">
        <f aca="false">10+1</f>
        <v>11</v>
      </c>
      <c r="M22" s="43" t="n">
        <f aca="false">K22*L22</f>
        <v>1069200</v>
      </c>
      <c r="O22" s="58" t="n">
        <f aca="false">+F22/$F$29*$O$29</f>
        <v>13.5062695035461</v>
      </c>
    </row>
    <row r="23" customFormat="false" ht="13.5" hidden="false" customHeight="false" outlineLevel="0" collapsed="false">
      <c r="A23" s="66" t="s">
        <v>131</v>
      </c>
      <c r="B23" s="67" t="s">
        <v>132</v>
      </c>
      <c r="C23" s="68" t="n">
        <f aca="false">SUM(C8:C22)</f>
        <v>15081091.79</v>
      </c>
      <c r="E23" s="68" t="n">
        <f aca="false">SUM(E8:E22)</f>
        <v>20365845.9946667</v>
      </c>
      <c r="F23" s="90" t="n">
        <f aca="false">SUM(F8:F22)</f>
        <v>12126488.2967943</v>
      </c>
      <c r="H23" s="91" t="n">
        <f aca="false">SUM(H8:H22)</f>
        <v>1</v>
      </c>
      <c r="J23" s="0" t="s">
        <v>133</v>
      </c>
      <c r="K23" s="43" t="n">
        <v>120000</v>
      </c>
      <c r="L23" s="0" t="n">
        <f aca="false">11+4</f>
        <v>15</v>
      </c>
      <c r="M23" s="43" t="n">
        <f aca="false">K23*L23</f>
        <v>1800000</v>
      </c>
      <c r="O23" s="90" t="n">
        <f aca="false">SUM(O8:O22)</f>
        <v>186561.35841222</v>
      </c>
    </row>
    <row r="24" customFormat="false" ht="12.75" hidden="false" customHeight="false" outlineLevel="0" collapsed="false">
      <c r="J24" s="0" t="s">
        <v>134</v>
      </c>
      <c r="K24" s="43" t="n">
        <v>156000</v>
      </c>
      <c r="L24" s="0" t="n">
        <f aca="false">2+4+7</f>
        <v>13</v>
      </c>
      <c r="M24" s="43" t="n">
        <f aca="false">K24*L24</f>
        <v>2028000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58" t="n">
        <f aca="false">'East Power Trading'!F25+'East Power Origination'!F25+'East Power A&amp;A'!F25+'East Power Admins'!F25</f>
        <v>48</v>
      </c>
      <c r="J25" s="0" t="s">
        <v>135</v>
      </c>
      <c r="K25" s="43" t="n">
        <v>180000</v>
      </c>
      <c r="L25" s="0" t="n">
        <f aca="false">1</f>
        <v>1</v>
      </c>
      <c r="M25" s="43" t="n">
        <f aca="false">K25*L25</f>
        <v>180000</v>
      </c>
      <c r="O25" s="71" t="n">
        <f aca="false">SUM(U16:U20,U23:U27)</f>
        <v>0</v>
      </c>
    </row>
    <row r="26" customFormat="false" ht="12.75" hidden="false" customHeight="false" outlineLevel="0" collapsed="false">
      <c r="C26" s="58"/>
      <c r="E26" s="58"/>
      <c r="F26" s="58"/>
      <c r="J26" s="0" t="s">
        <v>136</v>
      </c>
      <c r="K26" s="43" t="n">
        <v>216000</v>
      </c>
      <c r="L26" s="0" t="n">
        <f aca="false">4+1</f>
        <v>5</v>
      </c>
      <c r="M26" s="43" t="n">
        <f aca="false">K26*L26</f>
        <v>1080000</v>
      </c>
      <c r="O26" s="58"/>
    </row>
    <row r="27" customFormat="false" ht="12.75" hidden="false" customHeight="false" outlineLevel="0" collapsed="false">
      <c r="B27" s="67" t="s">
        <v>178</v>
      </c>
      <c r="C27" s="58"/>
      <c r="E27" s="71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58" t="n">
        <f aca="false">'East Power Trading'!F27+'East Power Origination'!F27+'East Power A&amp;A'!F27+'East Power Admins'!F27</f>
        <v>17</v>
      </c>
      <c r="J27" s="0" t="s">
        <v>138</v>
      </c>
      <c r="K27" s="43" t="n">
        <v>240000</v>
      </c>
      <c r="L27" s="0" t="n">
        <v>2</v>
      </c>
      <c r="M27" s="43" t="n">
        <f aca="false">K27*L27</f>
        <v>480000</v>
      </c>
      <c r="O27" s="71" t="n">
        <f aca="false">SUM(U21:U22)</f>
        <v>0</v>
      </c>
    </row>
    <row r="28" customFormat="false" ht="12.75" hidden="false" customHeight="false" outlineLevel="0" collapsed="false">
      <c r="B28" s="67"/>
      <c r="L28" s="0" t="n">
        <f aca="false">SUM(L16:L27)</f>
        <v>64</v>
      </c>
      <c r="M28" s="43" t="n">
        <f aca="false">SUM(M16:M27)</f>
        <v>7728000</v>
      </c>
    </row>
    <row r="29" customFormat="false" ht="12.75" hidden="false" customHeight="false" outlineLevel="0" collapsed="false">
      <c r="B29" s="67" t="s">
        <v>139</v>
      </c>
      <c r="E29" s="92" t="n">
        <f aca="false">SUM(E25:E27)</f>
        <v>141</v>
      </c>
      <c r="F29" s="71" t="n">
        <f aca="false">SUM(F25:F27)</f>
        <v>65</v>
      </c>
      <c r="H29" s="43"/>
      <c r="O29" s="71" t="n">
        <v>1</v>
      </c>
    </row>
    <row r="31" customFormat="false" ht="12.75" hidden="false" customHeight="false" outlineLevel="0" collapsed="false">
      <c r="I31" s="16" t="s">
        <v>140</v>
      </c>
      <c r="J31" s="43"/>
      <c r="K31" s="43"/>
      <c r="L31" s="43"/>
    </row>
    <row r="32" customFormat="false" ht="12.75" hidden="true" customHeight="false" outlineLevel="0" collapsed="false">
      <c r="B32" s="57" t="s">
        <v>107</v>
      </c>
      <c r="C32" s="58" t="n">
        <v>524067</v>
      </c>
      <c r="J32" s="43"/>
      <c r="K32" s="43"/>
      <c r="L32" s="43"/>
    </row>
    <row r="33" customFormat="false" ht="12.75" hidden="false" customHeight="false" outlineLevel="0" collapsed="false">
      <c r="I33" s="73" t="s">
        <v>141</v>
      </c>
      <c r="J33" s="74" t="s">
        <v>142</v>
      </c>
      <c r="K33" s="74" t="s">
        <v>143</v>
      </c>
      <c r="L33" s="74" t="s">
        <v>86</v>
      </c>
      <c r="M33" s="74" t="s">
        <v>144</v>
      </c>
    </row>
    <row r="34" customFormat="false" ht="12.75" hidden="false" customHeight="false" outlineLevel="0" collapsed="false">
      <c r="I34" s="75" t="n">
        <f aca="false">SUM(E12:E22)</f>
        <v>4466341.648</v>
      </c>
      <c r="J34" s="74" t="n">
        <f aca="false">+E29</f>
        <v>141</v>
      </c>
      <c r="K34" s="74" t="n">
        <f aca="false">+I34/J34</f>
        <v>31676.1819007092</v>
      </c>
      <c r="L34" s="74" t="n">
        <f aca="false">+L11</f>
        <v>64</v>
      </c>
      <c r="M34" s="74" t="n">
        <f aca="false">+K34*L34</f>
        <v>2027275.64164539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6" min="15" style="0" width="9.14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customFormat="false" ht="18" hidden="false" customHeight="false" outlineLevel="0" collapsed="false">
      <c r="B2" s="44" t="s">
        <v>25</v>
      </c>
      <c r="C2" s="44"/>
      <c r="D2" s="44"/>
      <c r="E2" s="44"/>
      <c r="F2" s="44"/>
      <c r="G2" s="44"/>
      <c r="H2" s="44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customFormat="false" ht="12.75" hidden="false" customHeight="false" outlineLevel="0" collapsed="false">
      <c r="J4" s="79"/>
      <c r="K4" s="80"/>
      <c r="L4" s="80"/>
      <c r="M4" s="81"/>
    </row>
    <row r="5" customFormat="false" ht="12.75" hidden="false" customHeight="false" outlineLevel="0" collapsed="false">
      <c r="J5" s="82"/>
      <c r="K5" s="21" t="s">
        <v>85</v>
      </c>
      <c r="L5" s="21" t="s">
        <v>86</v>
      </c>
      <c r="M5" s="8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F6" s="54" t="s">
        <v>90</v>
      </c>
      <c r="H6" s="84" t="s">
        <v>89</v>
      </c>
      <c r="J6" s="82"/>
      <c r="K6" s="21"/>
      <c r="L6" s="21"/>
      <c r="M6" s="83"/>
      <c r="O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 t="s">
        <v>94</v>
      </c>
      <c r="H7" s="84" t="s">
        <v>93</v>
      </c>
      <c r="J7" s="82"/>
      <c r="K7" s="21"/>
      <c r="L7" s="21"/>
      <c r="M7" s="8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58" t="n">
        <f aca="false">(C8/9)*12</f>
        <v>8854366.4</v>
      </c>
      <c r="F8" s="58" t="n">
        <f aca="false">M16+M17+M18+M19+M20+M23+M24+M26+M27+M25</f>
        <v>4129200</v>
      </c>
      <c r="H8" s="85" t="n">
        <f aca="false">E8/$E$23</f>
        <v>0.43476545989392</v>
      </c>
      <c r="J8" s="82" t="s">
        <v>96</v>
      </c>
      <c r="K8" s="43" t="n">
        <v>0</v>
      </c>
      <c r="L8" s="21"/>
      <c r="M8" s="86" t="n">
        <f aca="false">M28*1.2</f>
        <v>4955040</v>
      </c>
      <c r="O8" s="58" t="n">
        <f aca="false">+F8/$F$29*$O$29</f>
        <v>129037.5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58" t="n">
        <f aca="false">C9</f>
        <v>1460000</v>
      </c>
      <c r="F9" s="58"/>
      <c r="H9" s="85" t="n">
        <f aca="false">E9/$E$23</f>
        <v>0.0716886497316311</v>
      </c>
      <c r="J9" s="82"/>
      <c r="K9" s="21"/>
      <c r="L9" s="21"/>
      <c r="M9" s="83"/>
      <c r="O9" s="58" t="n">
        <f aca="false">+F9/$F$29*$O$29</f>
        <v>0</v>
      </c>
    </row>
    <row r="10" customFormat="false" ht="12.75" hidden="false" customHeight="false" outlineLevel="0" collapsed="false">
      <c r="A10" s="56"/>
      <c r="B10" s="57" t="s">
        <v>176</v>
      </c>
      <c r="C10" s="58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58" t="n">
        <f aca="false">(C10/9)*12</f>
        <v>3536680</v>
      </c>
      <c r="F10" s="58" t="n">
        <f aca="false">M21+M22</f>
        <v>0</v>
      </c>
      <c r="H10" s="85" t="n">
        <f aca="false">E10/$E$23</f>
        <v>0.173657406666346</v>
      </c>
      <c r="J10" s="82"/>
      <c r="K10" s="21"/>
      <c r="L10" s="21"/>
      <c r="M10" s="83"/>
      <c r="O10" s="58" t="n">
        <f aca="false">+F10/$F$29*$O$29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58" t="n">
        <f aca="false">(C11/9)*12</f>
        <v>2048457.94666667</v>
      </c>
      <c r="F11" s="58" t="n">
        <f aca="false">M28*0.2</f>
        <v>825840</v>
      </c>
      <c r="H11" s="85" t="n">
        <f aca="false">E11/$E$23</f>
        <v>0.100583002896276</v>
      </c>
      <c r="J11" s="82" t="s">
        <v>67</v>
      </c>
      <c r="K11" s="43" t="n">
        <f aca="false">(E12+E13+E14+E15+E16+E17+E18+E19+E20+E21+E22)/E29</f>
        <v>31676.1819007092</v>
      </c>
      <c r="L11" s="21" t="n">
        <f aca="false">L28</f>
        <v>32</v>
      </c>
      <c r="M11" s="86" t="n">
        <f aca="false">K11*L11</f>
        <v>1013637.82082269</v>
      </c>
      <c r="O11" s="58" t="n">
        <f aca="false">+F11/$F$29*$O$29</f>
        <v>25807.5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2" t="n">
        <f aca="false">(C12/9)*12*1.2</f>
        <v>890331.52</v>
      </c>
      <c r="F12" s="58" t="n">
        <f aca="false">E12/$E$29*$L$11-52061</f>
        <v>150000.054184397</v>
      </c>
      <c r="H12" s="85" t="n">
        <f aca="false">E12/$E$23</f>
        <v>0.0437168934810347</v>
      </c>
      <c r="J12" s="82"/>
      <c r="K12" s="21"/>
      <c r="L12" s="21"/>
      <c r="M12" s="83"/>
      <c r="O12" s="58" t="n">
        <f aca="false">+F12/$F$29*$O$29</f>
        <v>4687.50169326241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2" t="n">
        <f aca="false">(C13/9)*12*1.2</f>
        <v>1622984.656</v>
      </c>
      <c r="F13" s="58" t="n">
        <f aca="false">E13/$E$29*$L$11-168337</f>
        <v>199999.943205674</v>
      </c>
      <c r="H13" s="85" t="n">
        <f aca="false">E13/$E$23</f>
        <v>0.0796914921395861</v>
      </c>
      <c r="J13" s="87" t="s">
        <v>105</v>
      </c>
      <c r="K13" s="88"/>
      <c r="L13" s="88"/>
      <c r="M13" s="89" t="n">
        <f aca="false">M8+M11</f>
        <v>5968677.8208227</v>
      </c>
      <c r="O13" s="58" t="n">
        <f aca="false">+F13/$F$29*$O$29</f>
        <v>6249.99822517731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2" t="n">
        <f aca="false">(C14/9)*12*1.2</f>
        <v>0.608000000193715</v>
      </c>
      <c r="F14" s="58" t="n">
        <f aca="false">200000+300000</f>
        <v>500000</v>
      </c>
      <c r="H14" s="85" t="n">
        <f aca="false">E14/$E$23</f>
        <v>2.98539034593965E-008</v>
      </c>
      <c r="N14" s="60"/>
      <c r="O14" s="58" t="n">
        <f aca="false">+F14/$F$29*$O$29</f>
        <v>15625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2" t="n">
        <f aca="false">(C15/9)*12*1.2</f>
        <v>149163.408</v>
      </c>
      <c r="F15" s="58" t="n">
        <f aca="false">E15/$E$29*$L$11</f>
        <v>33852.6883404255</v>
      </c>
      <c r="H15" s="85" t="n">
        <f aca="false">E15/$E$23</f>
        <v>0.00732419404718382</v>
      </c>
      <c r="K15" s="43"/>
      <c r="O15" s="58" t="n">
        <f aca="false">+F15/$F$29*$O$29</f>
        <v>1057.8965106383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2" t="n">
        <f aca="false">(C16/9)*12*1.2</f>
        <v>0</v>
      </c>
      <c r="F16" s="58" t="n">
        <f aca="false">E16/$E$29*$L$11</f>
        <v>0</v>
      </c>
      <c r="H16" s="85" t="n">
        <f aca="false">E16/$E$23</f>
        <v>0</v>
      </c>
      <c r="J16" s="0" t="s">
        <v>177</v>
      </c>
      <c r="K16" s="43" t="n">
        <v>33600</v>
      </c>
      <c r="L16" s="0" t="n">
        <v>2</v>
      </c>
      <c r="M16" s="43" t="n">
        <f aca="false">K16*L16</f>
        <v>67200</v>
      </c>
      <c r="O16" s="58" t="n">
        <f aca="false">+F16/$F$29*$O$29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2" t="n">
        <f aca="false">(C17/9)*12*1.2</f>
        <v>8480</v>
      </c>
      <c r="F17" s="58" t="n">
        <f aca="false">E17/$E$29*$L$11</f>
        <v>1924.5390070922</v>
      </c>
      <c r="H17" s="85" t="n">
        <f aca="false">E17/$E$23</f>
        <v>0.000416383390222076</v>
      </c>
      <c r="J17" s="0" t="s">
        <v>115</v>
      </c>
      <c r="K17" s="43" t="n">
        <v>52800</v>
      </c>
      <c r="L17" s="0" t="n">
        <v>0</v>
      </c>
      <c r="M17" s="43" t="n">
        <f aca="false">K17*L17</f>
        <v>0</v>
      </c>
      <c r="O17" s="58" t="n">
        <f aca="false">+F17/$F$29*$O$29</f>
        <v>60.1418439716312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2" t="n">
        <f aca="false">(C18/9)*12*1.2</f>
        <v>459.663999999995</v>
      </c>
      <c r="F18" s="58" t="n">
        <f aca="false">E18/$E$29*$L$11</f>
        <v>104.320907801417</v>
      </c>
      <c r="H18" s="85" t="n">
        <f aca="false">E18/$E$23</f>
        <v>2.25703366371507E-005</v>
      </c>
      <c r="J18" s="0" t="s">
        <v>118</v>
      </c>
      <c r="K18" s="43" t="n">
        <v>54000</v>
      </c>
      <c r="L18" s="0" t="n">
        <f aca="false">1</f>
        <v>1</v>
      </c>
      <c r="M18" s="43" t="n">
        <f aca="false">K18*L18</f>
        <v>54000</v>
      </c>
      <c r="O18" s="58" t="n">
        <f aca="false">+F18/$F$29*$O$29</f>
        <v>3.26002836879429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2" t="n">
        <f aca="false">(C19/9)*12*1.2</f>
        <v>779438.72</v>
      </c>
      <c r="F19" s="58" t="n">
        <f aca="false">E19/$E$29*$L$11</f>
        <v>176893.893900709</v>
      </c>
      <c r="H19" s="85" t="n">
        <f aca="false">E19/$E$23</f>
        <v>0.038271855743391</v>
      </c>
      <c r="J19" s="0" t="s">
        <v>121</v>
      </c>
      <c r="K19" s="43" t="n">
        <v>63000</v>
      </c>
      <c r="L19" s="0" t="n">
        <v>0</v>
      </c>
      <c r="M19" s="43" t="n">
        <f aca="false">K19*L19</f>
        <v>0</v>
      </c>
      <c r="O19" s="58" t="n">
        <f aca="false">+F19/$F$29*$O$29</f>
        <v>5527.93418439716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2" t="n">
        <f aca="false">(C20/9)*12*1.2</f>
        <v>125.088</v>
      </c>
      <c r="F20" s="58" t="n">
        <v>0</v>
      </c>
      <c r="H20" s="85" t="n">
        <f aca="false">E20/$E$23</f>
        <v>6.1420478202947E-006</v>
      </c>
      <c r="J20" s="0" t="s">
        <v>124</v>
      </c>
      <c r="K20" s="43" t="n">
        <v>78000</v>
      </c>
      <c r="L20" s="0" t="n">
        <f aca="false">6</f>
        <v>6</v>
      </c>
      <c r="M20" s="43" t="n">
        <f aca="false">K20*L20</f>
        <v>468000</v>
      </c>
      <c r="O20" s="58" t="n">
        <f aca="false">+F20/$F$29*$O$29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2" t="n">
        <f aca="false">(C21/9)*12*1.2</f>
        <v>1013453.6</v>
      </c>
      <c r="F21" s="58" t="n">
        <f aca="false">E21/$E$29*$L$11</f>
        <v>230003.653900709</v>
      </c>
      <c r="H21" s="85" t="n">
        <f aca="false">E21/$E$23</f>
        <v>0.0497624110614113</v>
      </c>
      <c r="J21" s="0" t="s">
        <v>127</v>
      </c>
      <c r="K21" s="43" t="n">
        <v>66000</v>
      </c>
      <c r="L21" s="0" t="n">
        <v>0</v>
      </c>
      <c r="M21" s="43" t="n">
        <f aca="false">K21*L21</f>
        <v>0</v>
      </c>
      <c r="O21" s="58" t="n">
        <f aca="false">+F21/$F$29*$O$29</f>
        <v>7187.61418439716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2" t="n">
        <f aca="false">(C22/9)*12*1.2</f>
        <v>1904.384</v>
      </c>
      <c r="F22" s="58" t="n">
        <f aca="false">E22/$E$29*$L$11</f>
        <v>432.200624113475</v>
      </c>
      <c r="H22" s="85" t="n">
        <f aca="false">E22/$E$23</f>
        <v>9.35087106373442E-005</v>
      </c>
      <c r="J22" s="0" t="s">
        <v>130</v>
      </c>
      <c r="K22" s="43" t="n">
        <v>97200</v>
      </c>
      <c r="L22" s="0" t="n">
        <v>0</v>
      </c>
      <c r="M22" s="43" t="n">
        <f aca="false">K22*L22</f>
        <v>0</v>
      </c>
      <c r="O22" s="58" t="n">
        <f aca="false">+F22/$F$29*$O$29</f>
        <v>13.5062695035461</v>
      </c>
    </row>
    <row r="23" customFormat="false" ht="13.5" hidden="false" customHeight="false" outlineLevel="0" collapsed="false">
      <c r="A23" s="66" t="s">
        <v>131</v>
      </c>
      <c r="B23" s="67" t="s">
        <v>132</v>
      </c>
      <c r="C23" s="68" t="n">
        <f aca="false">SUM(C8:C22)</f>
        <v>15081091.79</v>
      </c>
      <c r="E23" s="68" t="n">
        <f aca="false">SUM(E8:E22)</f>
        <v>20365845.9946667</v>
      </c>
      <c r="F23" s="90" t="n">
        <f aca="false">SUM(F8:F22)</f>
        <v>6248251.29407092</v>
      </c>
      <c r="H23" s="91" t="n">
        <f aca="false">SUM(H8:H22)</f>
        <v>1</v>
      </c>
      <c r="J23" s="0" t="s">
        <v>133</v>
      </c>
      <c r="K23" s="43" t="n">
        <v>120000</v>
      </c>
      <c r="L23" s="0" t="n">
        <f aca="false">11+4-4</f>
        <v>11</v>
      </c>
      <c r="M23" s="43" t="n">
        <f aca="false">K23*L23</f>
        <v>1320000</v>
      </c>
      <c r="O23" s="90" t="n">
        <f aca="false">SUM(O8:O22)</f>
        <v>195257.852939716</v>
      </c>
    </row>
    <row r="24" customFormat="false" ht="12.75" hidden="false" customHeight="false" outlineLevel="0" collapsed="false">
      <c r="J24" s="0" t="s">
        <v>134</v>
      </c>
      <c r="K24" s="43" t="n">
        <v>156000</v>
      </c>
      <c r="L24" s="0" t="n">
        <f aca="false">2+4+7-7</f>
        <v>6</v>
      </c>
      <c r="M24" s="43" t="n">
        <f aca="false">K24*L24</f>
        <v>936000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1" t="n">
        <f aca="false">SUM(L16:L20,L23:L27)</f>
        <v>32</v>
      </c>
      <c r="J25" s="0" t="s">
        <v>135</v>
      </c>
      <c r="K25" s="43" t="n">
        <v>180000</v>
      </c>
      <c r="L25" s="0" t="n">
        <f aca="false">1</f>
        <v>1</v>
      </c>
      <c r="M25" s="43" t="n">
        <f aca="false">K25*L25</f>
        <v>180000</v>
      </c>
      <c r="O25" s="71" t="n">
        <f aca="false">SUM(U16:U20,U23:U27)</f>
        <v>0</v>
      </c>
    </row>
    <row r="26" customFormat="false" ht="12.75" hidden="false" customHeight="false" outlineLevel="0" collapsed="false">
      <c r="C26" s="58"/>
      <c r="E26" s="58"/>
      <c r="F26" s="58"/>
      <c r="J26" s="0" t="s">
        <v>136</v>
      </c>
      <c r="K26" s="43" t="n">
        <v>216000</v>
      </c>
      <c r="L26" s="0" t="n">
        <f aca="false">4+1-1</f>
        <v>4</v>
      </c>
      <c r="M26" s="43" t="n">
        <f aca="false">K26*L26</f>
        <v>864000</v>
      </c>
      <c r="O26" s="58"/>
    </row>
    <row r="27" customFormat="false" ht="12.75" hidden="false" customHeight="false" outlineLevel="0" collapsed="false">
      <c r="B27" s="67" t="s">
        <v>178</v>
      </c>
      <c r="C27" s="58"/>
      <c r="E27" s="71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1" t="n">
        <f aca="false">SUM(L21:L22)</f>
        <v>0</v>
      </c>
      <c r="J27" s="0" t="s">
        <v>138</v>
      </c>
      <c r="K27" s="43" t="n">
        <v>240000</v>
      </c>
      <c r="L27" s="0" t="n">
        <f aca="false">2-1</f>
        <v>1</v>
      </c>
      <c r="M27" s="43" t="n">
        <f aca="false">K27*L27</f>
        <v>240000</v>
      </c>
      <c r="O27" s="71" t="n">
        <f aca="false">SUM(U21:U22)</f>
        <v>0</v>
      </c>
    </row>
    <row r="28" customFormat="false" ht="12.75" hidden="false" customHeight="false" outlineLevel="0" collapsed="false">
      <c r="B28" s="67"/>
      <c r="L28" s="0" t="n">
        <f aca="false">SUM(L16:L27)</f>
        <v>32</v>
      </c>
      <c r="M28" s="43" t="n">
        <f aca="false">SUM(M16:M27)</f>
        <v>4129200</v>
      </c>
    </row>
    <row r="29" customFormat="false" ht="12.75" hidden="false" customHeight="false" outlineLevel="0" collapsed="false">
      <c r="B29" s="67" t="s">
        <v>139</v>
      </c>
      <c r="E29" s="92" t="n">
        <f aca="false">SUM(E25:E27)</f>
        <v>141</v>
      </c>
      <c r="F29" s="71" t="n">
        <f aca="false">SUM(F25:F27)</f>
        <v>32</v>
      </c>
      <c r="H29" s="43"/>
      <c r="O29" s="71" t="n">
        <v>1</v>
      </c>
    </row>
    <row r="31" customFormat="false" ht="12.75" hidden="false" customHeight="false" outlineLevel="0" collapsed="false">
      <c r="I31" s="16" t="s">
        <v>140</v>
      </c>
      <c r="J31" s="43"/>
      <c r="K31" s="43"/>
      <c r="L31" s="43"/>
    </row>
    <row r="32" customFormat="false" ht="12.75" hidden="true" customHeight="false" outlineLevel="0" collapsed="false">
      <c r="B32" s="57" t="s">
        <v>107</v>
      </c>
      <c r="C32" s="58" t="n">
        <v>524067</v>
      </c>
      <c r="J32" s="43"/>
      <c r="K32" s="43"/>
      <c r="L32" s="43"/>
    </row>
    <row r="33" customFormat="false" ht="12.75" hidden="false" customHeight="false" outlineLevel="0" collapsed="false">
      <c r="I33" s="73" t="s">
        <v>141</v>
      </c>
      <c r="J33" s="74" t="s">
        <v>142</v>
      </c>
      <c r="K33" s="74" t="s">
        <v>143</v>
      </c>
      <c r="L33" s="74" t="s">
        <v>86</v>
      </c>
      <c r="M33" s="74" t="s">
        <v>144</v>
      </c>
    </row>
    <row r="34" customFormat="false" ht="12.75" hidden="false" customHeight="false" outlineLevel="0" collapsed="false">
      <c r="I34" s="75" t="n">
        <f aca="false">SUM(E12:E22)</f>
        <v>4466341.648</v>
      </c>
      <c r="J34" s="74" t="n">
        <f aca="false">+E29</f>
        <v>141</v>
      </c>
      <c r="K34" s="74" t="n">
        <f aca="false">+I34/J34</f>
        <v>31676.1819007092</v>
      </c>
      <c r="L34" s="74" t="n">
        <f aca="false">+L11</f>
        <v>32</v>
      </c>
      <c r="M34" s="74" t="n">
        <f aca="false">+K34*L34</f>
        <v>1013637.8208227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9" min="15" style="0" width="9.14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customFormat="false" ht="18" hidden="false" customHeight="false" outlineLevel="0" collapsed="false">
      <c r="B2" s="44" t="s">
        <v>26</v>
      </c>
      <c r="C2" s="44"/>
      <c r="D2" s="44"/>
      <c r="E2" s="44"/>
      <c r="F2" s="44"/>
      <c r="G2" s="44"/>
      <c r="H2" s="44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customFormat="false" ht="12.75" hidden="false" customHeight="false" outlineLevel="0" collapsed="false">
      <c r="J4" s="79"/>
      <c r="K4" s="80"/>
      <c r="L4" s="80"/>
      <c r="M4" s="81"/>
    </row>
    <row r="5" customFormat="false" ht="12.75" hidden="false" customHeight="false" outlineLevel="0" collapsed="false">
      <c r="J5" s="82"/>
      <c r="K5" s="21" t="s">
        <v>85</v>
      </c>
      <c r="L5" s="21" t="s">
        <v>86</v>
      </c>
      <c r="M5" s="8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F6" s="54" t="s">
        <v>90</v>
      </c>
      <c r="H6" s="84" t="s">
        <v>89</v>
      </c>
      <c r="J6" s="82"/>
      <c r="K6" s="21"/>
      <c r="L6" s="21"/>
      <c r="M6" s="83"/>
      <c r="O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 t="s">
        <v>94</v>
      </c>
      <c r="H7" s="84" t="s">
        <v>93</v>
      </c>
      <c r="J7" s="82"/>
      <c r="K7" s="21"/>
      <c r="L7" s="21"/>
      <c r="M7" s="8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58" t="n">
        <f aca="false">(C8/9)*12</f>
        <v>8854366.4</v>
      </c>
      <c r="F8" s="58" t="n">
        <f aca="false">M16+M17+M18+M19+M20+M23+M24+M26+M27</f>
        <v>2148000</v>
      </c>
      <c r="H8" s="85" t="n">
        <f aca="false">E8/$E$23</f>
        <v>0.43476545989392</v>
      </c>
      <c r="J8" s="82" t="s">
        <v>96</v>
      </c>
      <c r="K8" s="43" t="n">
        <v>0</v>
      </c>
      <c r="L8" s="21"/>
      <c r="M8" s="86" t="n">
        <f aca="false">M28*1.2</f>
        <v>2577600</v>
      </c>
      <c r="O8" s="58" t="n">
        <f aca="false">+F8/$F$29*$O$29</f>
        <v>153428.571428571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58" t="n">
        <f aca="false">C9</f>
        <v>1460000</v>
      </c>
      <c r="F9" s="58"/>
      <c r="H9" s="85" t="n">
        <f aca="false">E9/$E$23</f>
        <v>0.0716886497316311</v>
      </c>
      <c r="J9" s="82"/>
      <c r="K9" s="21"/>
      <c r="L9" s="21"/>
      <c r="M9" s="83"/>
      <c r="O9" s="58" t="n">
        <f aca="false">+F9/$F$29*$O$29</f>
        <v>0</v>
      </c>
    </row>
    <row r="10" customFormat="false" ht="12.75" hidden="false" customHeight="false" outlineLevel="0" collapsed="false">
      <c r="A10" s="56"/>
      <c r="B10" s="57" t="s">
        <v>176</v>
      </c>
      <c r="C10" s="58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58" t="n">
        <f aca="false">(C10/9)*12</f>
        <v>3536680</v>
      </c>
      <c r="F10" s="58" t="n">
        <f aca="false">M21+M22</f>
        <v>0</v>
      </c>
      <c r="H10" s="85" t="n">
        <f aca="false">E10/$E$23</f>
        <v>0.173657406666346</v>
      </c>
      <c r="J10" s="82"/>
      <c r="K10" s="21"/>
      <c r="L10" s="21"/>
      <c r="M10" s="83"/>
      <c r="O10" s="58" t="n">
        <f aca="false">+F10/$F$29*$O$29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58" t="n">
        <f aca="false">(C11/9)*12</f>
        <v>2048457.94666667</v>
      </c>
      <c r="F11" s="58" t="n">
        <f aca="false">M28*0.2</f>
        <v>429600</v>
      </c>
      <c r="H11" s="85" t="n">
        <f aca="false">E11/$E$23</f>
        <v>0.100583002896276</v>
      </c>
      <c r="J11" s="82" t="s">
        <v>67</v>
      </c>
      <c r="K11" s="43" t="n">
        <f aca="false">(E12+E13+E14+E15+E16+E17+E18+E19+E20+E21+E22)/E29</f>
        <v>31676.1819007092</v>
      </c>
      <c r="L11" s="21" t="n">
        <f aca="false">L28</f>
        <v>14</v>
      </c>
      <c r="M11" s="86" t="n">
        <f aca="false">K11*L11</f>
        <v>443466.546609929</v>
      </c>
      <c r="O11" s="58" t="n">
        <f aca="false">+F11/$F$29*$O$29</f>
        <v>30685.7142857143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2" t="n">
        <f aca="false">(C12/9)*12*1.2</f>
        <v>890331.52</v>
      </c>
      <c r="F12" s="58" t="n">
        <f aca="false">E12/$E$29*$L$11</f>
        <v>88401.7112056738</v>
      </c>
      <c r="H12" s="85" t="n">
        <f aca="false">E12/$E$23</f>
        <v>0.0437168934810347</v>
      </c>
      <c r="J12" s="82"/>
      <c r="K12" s="21"/>
      <c r="L12" s="21"/>
      <c r="M12" s="83"/>
      <c r="O12" s="58" t="n">
        <f aca="false">+F12/$F$29*$O$29</f>
        <v>6314.40794326241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2" t="n">
        <f aca="false">(C13/9)*12*1.2</f>
        <v>1622984.656</v>
      </c>
      <c r="F13" s="58" t="n">
        <f aca="false">E13/$E$29*$L$11+370363</f>
        <v>531510.412652482</v>
      </c>
      <c r="H13" s="85" t="n">
        <f aca="false">E13/$E$23</f>
        <v>0.0796914921395861</v>
      </c>
      <c r="J13" s="87" t="s">
        <v>105</v>
      </c>
      <c r="K13" s="88"/>
      <c r="L13" s="88"/>
      <c r="M13" s="89" t="n">
        <f aca="false">M8+M11</f>
        <v>3021066.54660993</v>
      </c>
      <c r="O13" s="58" t="n">
        <f aca="false">+F13/$F$29*$O$29</f>
        <v>37965.0294751773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2" t="n">
        <f aca="false">(C14/9)*12*1.2</f>
        <v>0.608000000193715</v>
      </c>
      <c r="F14" s="58" t="n">
        <f aca="false">E14/$E$29*$L$11</f>
        <v>0.0603687943454753</v>
      </c>
      <c r="H14" s="85" t="n">
        <f aca="false">E14/$E$23</f>
        <v>2.98539034593965E-008</v>
      </c>
      <c r="N14" s="60"/>
      <c r="O14" s="58" t="n">
        <f aca="false">+F14/$F$29*$O$29</f>
        <v>0.00431205673896252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2" t="n">
        <f aca="false">(C15/9)*12*1.2</f>
        <v>149163.408</v>
      </c>
      <c r="F15" s="58" t="n">
        <f aca="false">E15/$E$29*$L$11</f>
        <v>14810.5511489362</v>
      </c>
      <c r="H15" s="85" t="n">
        <f aca="false">E15/$E$23</f>
        <v>0.00732419404718382</v>
      </c>
      <c r="K15" s="43"/>
      <c r="O15" s="58" t="n">
        <f aca="false">+F15/$F$29*$O$29</f>
        <v>1057.8965106383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2" t="n">
        <f aca="false">(C16/9)*12*1.2</f>
        <v>0</v>
      </c>
      <c r="F16" s="58" t="n">
        <f aca="false">E16/$E$29*$L$11</f>
        <v>0</v>
      </c>
      <c r="H16" s="85" t="n">
        <f aca="false">E16/$E$23</f>
        <v>0</v>
      </c>
      <c r="J16" s="0" t="s">
        <v>177</v>
      </c>
      <c r="K16" s="43" t="n">
        <v>33600</v>
      </c>
      <c r="L16" s="0" t="n">
        <v>0</v>
      </c>
      <c r="M16" s="43" t="n">
        <f aca="false">K16*L16</f>
        <v>0</v>
      </c>
      <c r="O16" s="58" t="n">
        <f aca="false">+F16/$F$29*$O$29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2" t="n">
        <f aca="false">(C17/9)*12*1.2</f>
        <v>8480</v>
      </c>
      <c r="F17" s="58" t="n">
        <f aca="false">E17/$E$29*$L$11</f>
        <v>841.985815602837</v>
      </c>
      <c r="H17" s="85" t="n">
        <f aca="false">E17/$E$23</f>
        <v>0.000416383390222076</v>
      </c>
      <c r="J17" s="0" t="s">
        <v>115</v>
      </c>
      <c r="K17" s="43" t="n">
        <v>52800</v>
      </c>
      <c r="L17" s="0" t="n">
        <v>0</v>
      </c>
      <c r="M17" s="43" t="n">
        <f aca="false">K17*L17</f>
        <v>0</v>
      </c>
      <c r="O17" s="58" t="n">
        <f aca="false">+F17/$F$29*$O$29</f>
        <v>60.1418439716312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2" t="n">
        <f aca="false">(C18/9)*12*1.2</f>
        <v>459.663999999995</v>
      </c>
      <c r="F18" s="58" t="n">
        <f aca="false">E18/$E$29*$L$11</f>
        <v>45.64039716312</v>
      </c>
      <c r="H18" s="85" t="n">
        <f aca="false">E18/$E$23</f>
        <v>2.25703366371507E-005</v>
      </c>
      <c r="J18" s="0" t="s">
        <v>118</v>
      </c>
      <c r="K18" s="43" t="n">
        <v>54000</v>
      </c>
      <c r="L18" s="0" t="n">
        <v>0</v>
      </c>
      <c r="M18" s="43" t="n">
        <f aca="false">K18*L18</f>
        <v>0</v>
      </c>
      <c r="O18" s="58" t="n">
        <f aca="false">+F18/$F$29*$O$29</f>
        <v>3.26002836879429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2" t="n">
        <f aca="false">(C19/9)*12*1.2</f>
        <v>779438.72</v>
      </c>
      <c r="F19" s="58" t="n">
        <f aca="false">E19/$E$29*$L$11</f>
        <v>77391.0785815603</v>
      </c>
      <c r="H19" s="85" t="n">
        <f aca="false">E19/$E$23</f>
        <v>0.038271855743391</v>
      </c>
      <c r="J19" s="0" t="s">
        <v>121</v>
      </c>
      <c r="K19" s="43" t="n">
        <v>63000</v>
      </c>
      <c r="L19" s="0" t="n">
        <v>0</v>
      </c>
      <c r="M19" s="43" t="n">
        <f aca="false">K19*L19</f>
        <v>0</v>
      </c>
      <c r="O19" s="58" t="n">
        <f aca="false">+F19/$F$29*$O$29</f>
        <v>5527.93418439716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2" t="n">
        <f aca="false">(C20/9)*12*1.2</f>
        <v>125.088</v>
      </c>
      <c r="F20" s="58" t="n">
        <f aca="false">E20/$E$29*$L$11</f>
        <v>12.420085106383</v>
      </c>
      <c r="H20" s="85" t="n">
        <f aca="false">E20/$E$23</f>
        <v>6.1420478202947E-006</v>
      </c>
      <c r="J20" s="0" t="s">
        <v>124</v>
      </c>
      <c r="K20" s="43" t="n">
        <v>78000</v>
      </c>
      <c r="L20" s="0" t="n">
        <v>0</v>
      </c>
      <c r="M20" s="43" t="n">
        <f aca="false">K20*L20</f>
        <v>0</v>
      </c>
      <c r="O20" s="58" t="n">
        <f aca="false">+F20/$F$29*$O$29</f>
        <v>0.887148936170213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2" t="n">
        <f aca="false">(C21/9)*12*1.2</f>
        <v>1013453.6</v>
      </c>
      <c r="F21" s="58" t="n">
        <f aca="false">E21/$E$29*$L$11</f>
        <v>100626.59858156</v>
      </c>
      <c r="H21" s="85" t="n">
        <f aca="false">E21/$E$23</f>
        <v>0.0497624110614113</v>
      </c>
      <c r="J21" s="0" t="s">
        <v>127</v>
      </c>
      <c r="K21" s="43" t="n">
        <v>66000</v>
      </c>
      <c r="L21" s="0" t="n">
        <v>0</v>
      </c>
      <c r="M21" s="43" t="n">
        <f aca="false">K21*L21</f>
        <v>0</v>
      </c>
      <c r="O21" s="58" t="n">
        <f aca="false">+F21/$F$29*$O$29</f>
        <v>7187.61418439716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2" t="n">
        <f aca="false">(C22/9)*12*1.2</f>
        <v>1904.384</v>
      </c>
      <c r="F22" s="58" t="n">
        <f aca="false">E22/$E$29*$L$11</f>
        <v>189.087773049645</v>
      </c>
      <c r="H22" s="85" t="n">
        <f aca="false">E22/$E$23</f>
        <v>9.35087106373442E-005</v>
      </c>
      <c r="J22" s="0" t="s">
        <v>130</v>
      </c>
      <c r="K22" s="43" t="n">
        <v>97200</v>
      </c>
      <c r="L22" s="0" t="n">
        <v>0</v>
      </c>
      <c r="M22" s="43" t="n">
        <f aca="false">K22*L22</f>
        <v>0</v>
      </c>
      <c r="O22" s="58" t="n">
        <f aca="false">+F22/$F$29*$O$29</f>
        <v>13.5062695035461</v>
      </c>
    </row>
    <row r="23" customFormat="false" ht="13.5" hidden="false" customHeight="false" outlineLevel="0" collapsed="false">
      <c r="A23" s="66" t="s">
        <v>131</v>
      </c>
      <c r="B23" s="67" t="s">
        <v>132</v>
      </c>
      <c r="C23" s="68" t="n">
        <f aca="false">SUM(C8:C22)</f>
        <v>15081091.79</v>
      </c>
      <c r="E23" s="68" t="n">
        <f aca="false">SUM(E8:E22)</f>
        <v>20365845.9946667</v>
      </c>
      <c r="F23" s="90" t="n">
        <f aca="false">SUM(F8:F22)</f>
        <v>3391429.54660993</v>
      </c>
      <c r="H23" s="91" t="n">
        <f aca="false">SUM(H8:H22)</f>
        <v>1</v>
      </c>
      <c r="J23" s="0" t="s">
        <v>133</v>
      </c>
      <c r="K23" s="43" t="n">
        <v>120000</v>
      </c>
      <c r="L23" s="0" t="n">
        <v>5</v>
      </c>
      <c r="M23" s="43" t="n">
        <f aca="false">K23*L23</f>
        <v>600000</v>
      </c>
      <c r="O23" s="90" t="n">
        <f aca="false">SUM(O8:O22)</f>
        <v>242244.967614995</v>
      </c>
    </row>
    <row r="24" customFormat="false" ht="12.75" hidden="false" customHeight="false" outlineLevel="0" collapsed="false">
      <c r="J24" s="0" t="s">
        <v>134</v>
      </c>
      <c r="K24" s="43" t="n">
        <v>156000</v>
      </c>
      <c r="L24" s="0" t="n">
        <v>7</v>
      </c>
      <c r="M24" s="43" t="n">
        <f aca="false">K24*L24</f>
        <v>1092000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1" t="n">
        <f aca="false">SUM(L16:L20,L23:L27)</f>
        <v>14</v>
      </c>
      <c r="J25" s="0" t="s">
        <v>135</v>
      </c>
      <c r="K25" s="43" t="n">
        <v>180000</v>
      </c>
      <c r="L25" s="0" t="n">
        <v>0</v>
      </c>
      <c r="M25" s="43" t="n">
        <f aca="false">K25*L25</f>
        <v>0</v>
      </c>
      <c r="O25" s="71" t="n">
        <f aca="false">SUM(U16:U20,U23:U27)</f>
        <v>0</v>
      </c>
    </row>
    <row r="26" customFormat="false" ht="12.75" hidden="false" customHeight="false" outlineLevel="0" collapsed="false">
      <c r="C26" s="58"/>
      <c r="E26" s="58"/>
      <c r="F26" s="58"/>
      <c r="J26" s="0" t="s">
        <v>136</v>
      </c>
      <c r="K26" s="43" t="n">
        <v>216000</v>
      </c>
      <c r="L26" s="0" t="n">
        <v>1</v>
      </c>
      <c r="M26" s="43" t="n">
        <f aca="false">K26*L26</f>
        <v>216000</v>
      </c>
      <c r="O26" s="58"/>
    </row>
    <row r="27" customFormat="false" ht="12.75" hidden="false" customHeight="false" outlineLevel="0" collapsed="false">
      <c r="B27" s="67" t="s">
        <v>178</v>
      </c>
      <c r="C27" s="58"/>
      <c r="E27" s="71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1" t="n">
        <f aca="false">SUM(L21:L22)</f>
        <v>0</v>
      </c>
      <c r="J27" s="0" t="s">
        <v>138</v>
      </c>
      <c r="K27" s="43" t="n">
        <v>240000</v>
      </c>
      <c r="L27" s="0" t="n">
        <f aca="false">2-1</f>
        <v>1</v>
      </c>
      <c r="M27" s="43" t="n">
        <f aca="false">K27*L27</f>
        <v>240000</v>
      </c>
      <c r="O27" s="71" t="n">
        <f aca="false">SUM(U21:U22)</f>
        <v>0</v>
      </c>
    </row>
    <row r="28" customFormat="false" ht="12.75" hidden="false" customHeight="false" outlineLevel="0" collapsed="false">
      <c r="B28" s="67"/>
      <c r="L28" s="0" t="n">
        <f aca="false">SUM(L16:L27)</f>
        <v>14</v>
      </c>
      <c r="M28" s="43" t="n">
        <f aca="false">SUM(M16:M27)</f>
        <v>2148000</v>
      </c>
    </row>
    <row r="29" customFormat="false" ht="12.75" hidden="false" customHeight="false" outlineLevel="0" collapsed="false">
      <c r="B29" s="67" t="s">
        <v>139</v>
      </c>
      <c r="E29" s="92" t="n">
        <f aca="false">SUM(E25:E27)</f>
        <v>141</v>
      </c>
      <c r="F29" s="71" t="n">
        <f aca="false">SUM(F25:F27)</f>
        <v>14</v>
      </c>
      <c r="H29" s="43"/>
      <c r="O29" s="71" t="n">
        <v>1</v>
      </c>
    </row>
    <row r="31" customFormat="false" ht="12.75" hidden="false" customHeight="false" outlineLevel="0" collapsed="false">
      <c r="I31" s="16" t="s">
        <v>140</v>
      </c>
      <c r="J31" s="43"/>
      <c r="K31" s="43"/>
      <c r="L31" s="43"/>
    </row>
    <row r="32" customFormat="false" ht="12.75" hidden="true" customHeight="false" outlineLevel="0" collapsed="false">
      <c r="B32" s="57" t="s">
        <v>107</v>
      </c>
      <c r="C32" s="58" t="n">
        <v>524067</v>
      </c>
      <c r="J32" s="43"/>
      <c r="K32" s="43"/>
      <c r="L32" s="43"/>
    </row>
    <row r="33" customFormat="false" ht="12.75" hidden="false" customHeight="false" outlineLevel="0" collapsed="false">
      <c r="I33" s="73" t="s">
        <v>141</v>
      </c>
      <c r="J33" s="74" t="s">
        <v>142</v>
      </c>
      <c r="K33" s="74" t="s">
        <v>143</v>
      </c>
      <c r="L33" s="74" t="s">
        <v>86</v>
      </c>
      <c r="M33" s="74" t="s">
        <v>144</v>
      </c>
    </row>
    <row r="34" customFormat="false" ht="12.75" hidden="false" customHeight="false" outlineLevel="0" collapsed="false">
      <c r="I34" s="75" t="n">
        <f aca="false">SUM(E12:E22)</f>
        <v>4466341.648</v>
      </c>
      <c r="J34" s="74" t="n">
        <f aca="false">+E29</f>
        <v>141</v>
      </c>
      <c r="K34" s="74" t="n">
        <f aca="false">+I34/J34</f>
        <v>31676.1819007092</v>
      </c>
      <c r="L34" s="74" t="n">
        <f aca="false">+L11</f>
        <v>14</v>
      </c>
      <c r="M34" s="74" t="n">
        <f aca="false">+K34*L34</f>
        <v>443466.546609929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16" min="16" style="0" width="19.41"/>
    <col collapsed="false" customWidth="true" hidden="true" outlineLevel="0" max="17" min="17" style="0" width="20.56"/>
    <col collapsed="false" customWidth="false" hidden="true" outlineLevel="0" max="18" min="18" style="0" width="9.06"/>
  </cols>
  <sheetData>
    <row r="1" customFormat="false" ht="18" hidden="false" customHeight="false" outlineLevel="0" collapsed="false">
      <c r="B1" s="44" t="str">
        <f aca="false">'[6]Team Report'!B1</f>
        <v>Enron North America</v>
      </c>
      <c r="C1" s="44"/>
      <c r="D1" s="44"/>
      <c r="E1" s="44"/>
      <c r="F1" s="44"/>
      <c r="G1" s="44"/>
      <c r="H1" s="44"/>
      <c r="I1" s="44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</row>
    <row r="2" customFormat="false" ht="18" hidden="false" customHeight="false" outlineLevel="0" collapsed="false">
      <c r="B2" s="44" t="s">
        <v>179</v>
      </c>
      <c r="C2" s="44"/>
      <c r="D2" s="44"/>
      <c r="E2" s="44"/>
      <c r="F2" s="44"/>
      <c r="G2" s="44"/>
      <c r="H2" s="44"/>
      <c r="I2" s="44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</row>
    <row r="3" customFormat="false" ht="18.75" hidden="false" customHeight="false" outlineLevel="0" collapsed="false">
      <c r="B3" s="93" t="s">
        <v>5</v>
      </c>
      <c r="C3" s="93"/>
      <c r="D3" s="93"/>
      <c r="E3" s="93"/>
      <c r="F3" s="93"/>
      <c r="G3" s="93"/>
      <c r="H3" s="93"/>
      <c r="I3" s="93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customFormat="false" ht="12.75" hidden="false" customHeight="false" outlineLevel="0" collapsed="false">
      <c r="K4" s="79"/>
      <c r="L4" s="80"/>
      <c r="M4" s="80"/>
      <c r="N4" s="81"/>
    </row>
    <row r="5" customFormat="false" ht="12.75" hidden="false" customHeight="false" outlineLevel="0" collapsed="false">
      <c r="K5" s="82"/>
      <c r="L5" s="21" t="s">
        <v>85</v>
      </c>
      <c r="M5" s="21" t="s">
        <v>86</v>
      </c>
      <c r="N5" s="83" t="s">
        <v>87</v>
      </c>
    </row>
    <row r="6" customFormat="false" ht="12.75" hidden="false" customHeight="false" outlineLevel="0" collapsed="false">
      <c r="C6" s="54" t="n">
        <v>37135</v>
      </c>
      <c r="E6" s="94" t="n">
        <v>2001</v>
      </c>
      <c r="F6" s="54"/>
      <c r="G6" s="94" t="n">
        <v>2002</v>
      </c>
      <c r="H6" s="54"/>
      <c r="I6" s="54" t="s">
        <v>180</v>
      </c>
      <c r="K6" s="82"/>
      <c r="L6" s="21"/>
      <c r="M6" s="21"/>
      <c r="N6" s="83"/>
      <c r="O6" s="94" t="n">
        <v>2002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/>
      <c r="G7" s="55" t="s">
        <v>94</v>
      </c>
      <c r="H7" s="55"/>
      <c r="I7" s="55" t="s">
        <v>181</v>
      </c>
      <c r="K7" s="82"/>
      <c r="L7" s="21"/>
      <c r="M7" s="21"/>
      <c r="N7" s="8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'[7]Executive Orig'!C8+[7]Trading!C8+[7]Origination!C8+'[7]Mid Market'!C8+[7]Services!C8+[7]Fundamentals!C8</f>
        <v>4789958.99</v>
      </c>
      <c r="E8" s="58" t="n">
        <f aca="false">(C8/9)*12</f>
        <v>6386611.98666667</v>
      </c>
      <c r="F8" s="58"/>
      <c r="G8" s="58" t="n">
        <f aca="false">SUM(N16:N20,N23:N27)</f>
        <v>2157000</v>
      </c>
      <c r="H8" s="58"/>
      <c r="I8" s="85" t="n">
        <f aca="false">+G8/$G$23</f>
        <v>0.624827796186105</v>
      </c>
      <c r="K8" s="82" t="s">
        <v>96</v>
      </c>
      <c r="L8" s="43" t="n">
        <v>0</v>
      </c>
      <c r="M8" s="21" t="n">
        <v>64</v>
      </c>
      <c r="N8" s="86" t="n">
        <f aca="false">N28</f>
        <v>2588400</v>
      </c>
      <c r="O8" s="58" t="n">
        <f aca="false">+G8/$G$29*$O$29</f>
        <v>134812.5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'[7]Executive Orig'!C9+[7]Trading!C9+[7]Origination!C9+'[7]Mid Market'!C9+[7]Services!C9+[7]Fundamentals!C9</f>
        <v>1464000</v>
      </c>
      <c r="E9" s="58" t="n">
        <f aca="false">+C9</f>
        <v>1464000</v>
      </c>
      <c r="F9" s="58"/>
      <c r="G9" s="58"/>
      <c r="H9" s="58"/>
      <c r="I9" s="85" t="n">
        <f aca="false">+G9/$G$23</f>
        <v>0</v>
      </c>
      <c r="K9" s="82"/>
      <c r="L9" s="21"/>
      <c r="M9" s="21"/>
      <c r="N9" s="83"/>
      <c r="O9" s="58" t="n">
        <f aca="false">+G9/$G$29*$O$29</f>
        <v>0</v>
      </c>
    </row>
    <row r="10" customFormat="false" ht="12.75" hidden="false" customHeight="false" outlineLevel="0" collapsed="false">
      <c r="B10" s="57" t="s">
        <v>176</v>
      </c>
      <c r="C10" s="58" t="n">
        <f aca="false">'[7]Executive Orig'!C10+[7]Trading!C10+[7]Origination!C10+'[7]Mid Market'!C10+[7]Services!C10+[7]Fundamentals!C10</f>
        <v>804567</v>
      </c>
      <c r="E10" s="58" t="n">
        <f aca="false">(C10/9)*12</f>
        <v>1072756</v>
      </c>
      <c r="F10" s="58"/>
      <c r="G10" s="58" t="n">
        <f aca="false">+N21+N22</f>
        <v>0</v>
      </c>
      <c r="H10" s="58"/>
      <c r="I10" s="85" t="n">
        <f aca="false">+G10/$G$23</f>
        <v>0</v>
      </c>
      <c r="K10" s="82"/>
      <c r="L10" s="21"/>
      <c r="M10" s="21"/>
      <c r="N10" s="83"/>
      <c r="O10" s="58" t="n">
        <f aca="false">+G10/$G$29*$O$29</f>
        <v>0</v>
      </c>
      <c r="P10" s="61"/>
      <c r="Q10" s="61"/>
      <c r="R10" s="61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'[7]Executive Orig'!C11+[7]Trading!C11+[7]Origination!C11+'[7]Mid Market'!C11+[7]Services!C11+[7]Fundamentals!C11</f>
        <v>1096068.21</v>
      </c>
      <c r="E11" s="58" t="n">
        <f aca="false">(C11/9)*12</f>
        <v>1461424.28</v>
      </c>
      <c r="F11" s="58"/>
      <c r="G11" s="58" t="n">
        <f aca="false">+G8*0.2+(N21+N22)*0.2</f>
        <v>431400</v>
      </c>
      <c r="H11" s="58"/>
      <c r="I11" s="85" t="n">
        <f aca="false">+G11/$G$23</f>
        <v>0.124965559237221</v>
      </c>
      <c r="K11" s="82" t="s">
        <v>67</v>
      </c>
      <c r="L11" s="74" t="n">
        <f aca="false">(E12+E13+E14+E15+E16+E17+E18+E19+E20+E21+E22)/E29</f>
        <v>47533.8552808989</v>
      </c>
      <c r="M11" s="21" t="n">
        <f aca="false">M28</f>
        <v>16</v>
      </c>
      <c r="N11" s="86" t="n">
        <f aca="false">L11*M11</f>
        <v>760541.684494382</v>
      </c>
      <c r="O11" s="58" t="n">
        <f aca="false">+G11/$G$29*$O$29</f>
        <v>26962.5</v>
      </c>
      <c r="P11" s="61"/>
      <c r="Q11" s="61"/>
      <c r="R11" s="61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'[7]Executive Orig'!C12+[7]Trading!C12+[7]Origination!C12+'[7]Mid Market'!C12+[7]Services!C12+[7]Fundamentals!C12</f>
        <v>658117.68</v>
      </c>
      <c r="E12" s="62" t="n">
        <f aca="false">((C12/9)*12)*1.2</f>
        <v>1052988.288</v>
      </c>
      <c r="F12" s="58"/>
      <c r="G12" s="58" t="n">
        <f aca="false">+(100*12*16)+(500*12*11)+((10000/9)*4)+30000+25000+25000</f>
        <v>169644.444444444</v>
      </c>
      <c r="H12" s="58"/>
      <c r="I12" s="85" t="n">
        <f aca="false">+G12/$G$23</f>
        <v>0.0491416617327021</v>
      </c>
      <c r="K12" s="82"/>
      <c r="L12" s="21"/>
      <c r="M12" s="21"/>
      <c r="N12" s="83"/>
      <c r="O12" s="58" t="n">
        <f aca="false">+G12/$G$29*$O$29</f>
        <v>10602.7777777778</v>
      </c>
      <c r="P12" s="61"/>
      <c r="Q12" s="61"/>
      <c r="R12" s="61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'[7]Executive Orig'!C13+[7]Trading!C13+[7]Origination!C13+'[7]Mid Market'!C13+[7]Services!C13+[7]Fundamentals!C13</f>
        <v>719773.8</v>
      </c>
      <c r="E13" s="62" t="n">
        <f aca="false">((C13/9)*12)*1.2</f>
        <v>1151638.08</v>
      </c>
      <c r="F13" s="58"/>
      <c r="G13" s="58" t="n">
        <f aca="false">+(3*1100*11)+(2*1100*5)+(8*1100*11)+(5*1100*5)+(16*300*6)</f>
        <v>200400</v>
      </c>
      <c r="H13" s="58"/>
      <c r="I13" s="85" t="n">
        <f aca="false">+G13/$G$23</f>
        <v>0.0580507604801556</v>
      </c>
      <c r="K13" s="87" t="s">
        <v>105</v>
      </c>
      <c r="L13" s="88"/>
      <c r="M13" s="88"/>
      <c r="N13" s="89" t="n">
        <f aca="false">N8+N11</f>
        <v>3348941.68449438</v>
      </c>
      <c r="O13" s="58" t="n">
        <f aca="false">+G13/$G$29*$O$29</f>
        <v>12525</v>
      </c>
      <c r="P13" s="61"/>
      <c r="Q13" s="61"/>
      <c r="R13" s="61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'[7]Executive Orig'!C14+[7]Trading!C14+[7]Origination!C14+'[7]Mid Market'!C14+[7]Services!C14+[7]Fundamentals!C14-C32</f>
        <v>0.239999999757856</v>
      </c>
      <c r="E14" s="62" t="n">
        <f aca="false">((C14/9)*12)*1.2</f>
        <v>0.38399999961257</v>
      </c>
      <c r="F14" s="58"/>
      <c r="G14" s="58" t="n">
        <f aca="false">120000+40000</f>
        <v>160000</v>
      </c>
      <c r="H14" s="58"/>
      <c r="I14" s="85" t="n">
        <f aca="false">+G14/$G$23</f>
        <v>0.0463479125590064</v>
      </c>
      <c r="O14" s="58" t="n">
        <f aca="false">+G14/$G$29*$O$29</f>
        <v>10000</v>
      </c>
      <c r="P14" s="61"/>
      <c r="Q14" s="61"/>
      <c r="R14" s="61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'[7]Executive Orig'!C15+[7]Trading!C15+[7]Origination!C15+'[7]Mid Market'!C15+[7]Services!C15+[7]Fundamentals!C15</f>
        <v>128890.14</v>
      </c>
      <c r="E15" s="62" t="n">
        <f aca="false">((C15/9)*12)*1.2</f>
        <v>206224.224</v>
      </c>
      <c r="F15" s="58"/>
      <c r="G15" s="58" t="n">
        <v>46080</v>
      </c>
      <c r="H15" s="58"/>
      <c r="I15" s="85" t="n">
        <f aca="false">+G15/$G$23</f>
        <v>0.0133481988169939</v>
      </c>
      <c r="O15" s="58" t="n">
        <f aca="false">+G15/$G$29*$O$29</f>
        <v>2880</v>
      </c>
      <c r="P15" s="61"/>
      <c r="Q15" s="61"/>
      <c r="R15" s="61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'[7]Executive Orig'!C16+[7]Trading!C16+[7]Origination!C16+'[7]Mid Market'!C16+[7]Services!C16+[7]Fundamentals!C16</f>
        <v>0</v>
      </c>
      <c r="E16" s="62" t="n">
        <f aca="false">((C16/9)*12)*1.2</f>
        <v>0</v>
      </c>
      <c r="F16" s="58"/>
      <c r="G16" s="58" t="n">
        <v>20000</v>
      </c>
      <c r="H16" s="58"/>
      <c r="I16" s="85" t="n">
        <f aca="false">+G16/$G$23</f>
        <v>0.0057934890698758</v>
      </c>
      <c r="K16" s="0" t="s">
        <v>177</v>
      </c>
      <c r="L16" s="43" t="n">
        <v>33600</v>
      </c>
      <c r="M16" s="0" t="n">
        <v>0</v>
      </c>
      <c r="N16" s="43" t="n">
        <f aca="false">L16*M16</f>
        <v>0</v>
      </c>
      <c r="O16" s="58" t="n">
        <f aca="false">+G16/$G$29*$O$29</f>
        <v>1250</v>
      </c>
      <c r="P16" s="61"/>
      <c r="Q16" s="61"/>
      <c r="R16" s="61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'[7]Executive Orig'!C17+[7]Trading!C17+[7]Origination!C17+'[7]Mid Market'!C17+[7]Services!C17+[7]Fundamentals!C17</f>
        <v>11300</v>
      </c>
      <c r="E17" s="62" t="n">
        <f aca="false">((C17/9)*12)*1.2</f>
        <v>18080</v>
      </c>
      <c r="F17" s="58"/>
      <c r="G17" s="58" t="n">
        <v>6094</v>
      </c>
      <c r="H17" s="58"/>
      <c r="I17" s="85" t="n">
        <f aca="false">+G17/$G$23</f>
        <v>0.00176527611959116</v>
      </c>
      <c r="K17" s="0" t="s">
        <v>115</v>
      </c>
      <c r="L17" s="43" t="n">
        <v>52800</v>
      </c>
      <c r="M17" s="0" t="n">
        <v>0</v>
      </c>
      <c r="N17" s="43" t="n">
        <f aca="false">L17*M17</f>
        <v>0</v>
      </c>
      <c r="O17" s="58" t="n">
        <f aca="false">+G17/$G$29*$O$29</f>
        <v>380.875</v>
      </c>
      <c r="P17" s="61"/>
      <c r="Q17" s="61"/>
      <c r="R17" s="61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'[7]Executive Orig'!C18+[7]Trading!C18+[7]Origination!C18+'[7]Mid Market'!C18+[7]Services!C18+[7]Fundamentals!C18</f>
        <v>327447.74</v>
      </c>
      <c r="E18" s="62" t="n">
        <f aca="false">((C18/9)*12)*1.2</f>
        <v>523916.384</v>
      </c>
      <c r="F18" s="58"/>
      <c r="G18" s="58" t="n">
        <f aca="false">+(75*12*16)+(3000*12)+(3000*12)+(500*12)</f>
        <v>92400</v>
      </c>
      <c r="H18" s="58"/>
      <c r="I18" s="85" t="n">
        <f aca="false">+G18/$G$23</f>
        <v>0.0267659195028262</v>
      </c>
      <c r="K18" s="0" t="s">
        <v>118</v>
      </c>
      <c r="L18" s="43" t="n">
        <v>54000</v>
      </c>
      <c r="M18" s="0" t="n">
        <v>0</v>
      </c>
      <c r="N18" s="43" t="n">
        <f aca="false">L18*M18</f>
        <v>0</v>
      </c>
      <c r="O18" s="58" t="n">
        <f aca="false">+G18/$G$29*$O$29</f>
        <v>5775</v>
      </c>
      <c r="P18" s="61"/>
      <c r="Q18" s="61"/>
      <c r="R18" s="61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'[7]Executive Orig'!C19+[7]Trading!C19+[7]Origination!C19+'[7]Mid Market'!C19+[7]Services!C19+[7]Fundamentals!C19</f>
        <v>155845.37</v>
      </c>
      <c r="E19" s="62" t="n">
        <f aca="false">((C19/9)*12)*1.2</f>
        <v>249352.592</v>
      </c>
      <c r="F19" s="58"/>
      <c r="G19" s="58" t="n">
        <f aca="false">(82000/15*11)+(22000/9*5)</f>
        <v>72355.5555555556</v>
      </c>
      <c r="H19" s="58"/>
      <c r="I19" s="85" t="n">
        <f aca="false">+G19/$G$23</f>
        <v>0.0209595560127951</v>
      </c>
      <c r="K19" s="0" t="s">
        <v>121</v>
      </c>
      <c r="L19" s="43" t="n">
        <v>63000</v>
      </c>
      <c r="M19" s="0" t="n">
        <f aca="false">5</f>
        <v>5</v>
      </c>
      <c r="N19" s="43" t="n">
        <f aca="false">L19*M19</f>
        <v>315000</v>
      </c>
      <c r="O19" s="58" t="n">
        <f aca="false">+G19/$G$29*$O$29</f>
        <v>4522.22222222222</v>
      </c>
      <c r="P19" s="61"/>
      <c r="Q19" s="61"/>
      <c r="R19" s="61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'[7]Executive Orig'!C20+[7]Trading!C20+[7]Origination!C20+'[7]Mid Market'!C20+[7]Services!C20+[7]Fundamentals!C20</f>
        <v>116.15</v>
      </c>
      <c r="E20" s="62" t="n">
        <f aca="false">((C20/9)*12)*1.2</f>
        <v>185.84</v>
      </c>
      <c r="F20" s="58"/>
      <c r="G20" s="58" t="n">
        <v>0</v>
      </c>
      <c r="H20" s="58"/>
      <c r="I20" s="85" t="n">
        <f aca="false">+G20/$G$23</f>
        <v>0</v>
      </c>
      <c r="K20" s="0" t="s">
        <v>124</v>
      </c>
      <c r="L20" s="43" t="n">
        <v>78000</v>
      </c>
      <c r="M20" s="0" t="n">
        <f aca="false">1</f>
        <v>1</v>
      </c>
      <c r="N20" s="43" t="n">
        <f aca="false">L20*M20</f>
        <v>78000</v>
      </c>
      <c r="O20" s="58" t="n">
        <f aca="false">+G20/$G$29*$O$29</f>
        <v>0</v>
      </c>
      <c r="P20" s="61"/>
      <c r="Q20" s="61"/>
      <c r="R20" s="61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'[7]Executive Orig'!C21+[7]Trading!C21+[7]Origination!C21+'[7]Mid Market'!C21+[7]Services!C21+[7]Fundamentals!C21</f>
        <v>566869.93</v>
      </c>
      <c r="E21" s="62" t="n">
        <f aca="false">((C21/9)*12)*1.2</f>
        <v>906991.888</v>
      </c>
      <c r="F21" s="58"/>
      <c r="G21" s="58" t="n">
        <v>75000</v>
      </c>
      <c r="H21" s="58"/>
      <c r="I21" s="85" t="n">
        <f aca="false">+G21/$G$23</f>
        <v>0.0217255840120343</v>
      </c>
      <c r="K21" s="0" t="s">
        <v>127</v>
      </c>
      <c r="L21" s="43" t="n">
        <v>66000</v>
      </c>
      <c r="M21" s="0" t="n">
        <v>0</v>
      </c>
      <c r="N21" s="43" t="n">
        <f aca="false">L21*M21</f>
        <v>0</v>
      </c>
      <c r="O21" s="58" t="n">
        <f aca="false">+G21/$G$29*$O$29</f>
        <v>4687.5</v>
      </c>
      <c r="P21" s="61"/>
      <c r="Q21" s="61"/>
      <c r="R21" s="61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'[7]Executive Orig'!C22+[7]Trading!C22+[7]Origination!C22+'[7]Mid Market'!C22+[7]Services!C22+[7]Fundamentals!C22</f>
        <v>75709.65</v>
      </c>
      <c r="E22" s="62" t="n">
        <f aca="false">((C22/9)*12)*1.2</f>
        <v>121135.44</v>
      </c>
      <c r="F22" s="58"/>
      <c r="G22" s="58" t="n">
        <f aca="false">+E22/$E$29*$M$11</f>
        <v>21777.157752809</v>
      </c>
      <c r="H22" s="58"/>
      <c r="I22" s="85" t="n">
        <f aca="false">+G22/$G$23</f>
        <v>0.006308286270693</v>
      </c>
      <c r="K22" s="0" t="s">
        <v>130</v>
      </c>
      <c r="L22" s="43" t="n">
        <v>97200</v>
      </c>
      <c r="M22" s="0" t="n">
        <v>0</v>
      </c>
      <c r="N22" s="43" t="n">
        <f aca="false">L22*M22</f>
        <v>0</v>
      </c>
      <c r="O22" s="58" t="n">
        <f aca="false">+G22/$G$29*$O$29</f>
        <v>1361.07235955056</v>
      </c>
      <c r="P22" s="61"/>
      <c r="Q22" s="61"/>
      <c r="R22" s="61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10798664.9</v>
      </c>
      <c r="E23" s="68" t="n">
        <f aca="false">SUM(E8:E22)</f>
        <v>14615305.3866667</v>
      </c>
      <c r="F23" s="70"/>
      <c r="G23" s="68" t="n">
        <f aca="false">SUM(G8:G22)</f>
        <v>3452151.15775281</v>
      </c>
      <c r="H23" s="70"/>
      <c r="I23" s="91" t="n">
        <f aca="false">SUM(I8:I22)</f>
        <v>1</v>
      </c>
      <c r="K23" s="0" t="s">
        <v>133</v>
      </c>
      <c r="L23" s="43" t="n">
        <v>120000</v>
      </c>
      <c r="M23" s="0" t="n">
        <v>0</v>
      </c>
      <c r="N23" s="43" t="n">
        <f aca="false">L23*M23</f>
        <v>0</v>
      </c>
      <c r="O23" s="68" t="n">
        <f aca="false">SUM(O8:O22)</f>
        <v>215759.447359551</v>
      </c>
      <c r="P23" s="61"/>
      <c r="Q23" s="61"/>
      <c r="R23" s="61"/>
    </row>
    <row r="24" customFormat="false" ht="12.75" hidden="false" customHeight="false" outlineLevel="0" collapsed="false">
      <c r="K24" s="0" t="s">
        <v>134</v>
      </c>
      <c r="L24" s="43" t="n">
        <v>156000</v>
      </c>
      <c r="M24" s="0" t="n">
        <v>7</v>
      </c>
      <c r="N24" s="43" t="n">
        <f aca="false">L24*M24</f>
        <v>1092000</v>
      </c>
      <c r="P24" s="61"/>
      <c r="Q24" s="61"/>
      <c r="R24" s="61"/>
    </row>
    <row r="25" customFormat="false" ht="12.75" hidden="false" customHeight="false" outlineLevel="0" collapsed="false">
      <c r="B25" s="67" t="s">
        <v>9</v>
      </c>
      <c r="C25" s="58"/>
      <c r="E25" s="71" t="n">
        <f aca="false">'[7]Executive Orig'!E25+[7]Trading!E25+[7]Origination!E25+'[7]Mid Market'!E25+[7]Services!E25+[7]Fundamentals!E25</f>
        <v>74</v>
      </c>
      <c r="F25" s="58"/>
      <c r="G25" s="71" t="n">
        <f aca="false">SUM(M16:M20,M23:M27)</f>
        <v>16</v>
      </c>
      <c r="H25" s="58"/>
      <c r="K25" s="0" t="s">
        <v>135</v>
      </c>
      <c r="L25" s="43" t="n">
        <v>180000</v>
      </c>
      <c r="M25" s="0" t="n">
        <v>0</v>
      </c>
      <c r="N25" s="43" t="n">
        <f aca="false">L25*M25</f>
        <v>0</v>
      </c>
      <c r="O25" s="71" t="n">
        <f aca="false">SUM(U16:U20,U23:U27)</f>
        <v>0</v>
      </c>
      <c r="P25" s="61"/>
      <c r="Q25" s="61"/>
      <c r="R25" s="61"/>
    </row>
    <row r="26" customFormat="false" ht="12.75" hidden="false" customHeight="false" outlineLevel="0" collapsed="false">
      <c r="C26" s="58"/>
      <c r="E26" s="58"/>
      <c r="F26" s="58"/>
      <c r="G26" s="58"/>
      <c r="H26" s="58"/>
      <c r="K26" s="0" t="s">
        <v>136</v>
      </c>
      <c r="L26" s="43" t="n">
        <v>216000</v>
      </c>
      <c r="M26" s="0" t="n">
        <v>2</v>
      </c>
      <c r="N26" s="43" t="n">
        <f aca="false">L26*M26</f>
        <v>432000</v>
      </c>
      <c r="O26" s="58"/>
    </row>
    <row r="27" customFormat="false" ht="12.75" hidden="false" customHeight="false" outlineLevel="0" collapsed="false">
      <c r="B27" s="67" t="s">
        <v>178</v>
      </c>
      <c r="C27" s="58"/>
      <c r="E27" s="71" t="n">
        <f aca="false">'[7]Executive Orig'!E27+[7]Trading!E27+[7]Origination!E27+'[7]Mid Market'!E27+[7]Services!E27+[7]Fundamentals!E27</f>
        <v>15</v>
      </c>
      <c r="F27" s="58"/>
      <c r="G27" s="71" t="n">
        <f aca="false">+M21+M22</f>
        <v>0</v>
      </c>
      <c r="H27" s="58"/>
      <c r="K27" s="0" t="s">
        <v>138</v>
      </c>
      <c r="L27" s="43" t="n">
        <v>240000</v>
      </c>
      <c r="M27" s="0" t="n">
        <v>1</v>
      </c>
      <c r="N27" s="43" t="n">
        <f aca="false">L27*M27</f>
        <v>240000</v>
      </c>
      <c r="O27" s="71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16</v>
      </c>
      <c r="N28" s="43" t="n">
        <f aca="false">SUM(N16:N27)*1.2</f>
        <v>2588400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89</v>
      </c>
      <c r="F29" s="58"/>
      <c r="G29" s="71" t="n">
        <f aca="false">+G27+G25</f>
        <v>16</v>
      </c>
      <c r="H29" s="58"/>
      <c r="I29" s="43"/>
      <c r="O29" s="71" t="n">
        <v>1</v>
      </c>
    </row>
    <row r="31" customFormat="false" ht="12.75" hidden="false" customHeight="false" outlineLevel="0" collapsed="false">
      <c r="J31" s="16" t="s">
        <v>140</v>
      </c>
      <c r="K31" s="43"/>
      <c r="L31" s="43"/>
      <c r="M31" s="43"/>
    </row>
    <row r="32" customFormat="false" ht="12.75" hidden="true" customHeight="false" outlineLevel="0" collapsed="false">
      <c r="B32" s="57" t="s">
        <v>107</v>
      </c>
      <c r="C32" s="58" t="n">
        <v>677322</v>
      </c>
      <c r="K32" s="43"/>
      <c r="L32" s="43"/>
      <c r="M32" s="43"/>
    </row>
    <row r="33" customFormat="false" ht="12.75" hidden="false" customHeight="false" outlineLevel="0" collapsed="false">
      <c r="J33" s="73" t="s">
        <v>141</v>
      </c>
      <c r="K33" s="74" t="s">
        <v>142</v>
      </c>
      <c r="L33" s="74" t="s">
        <v>143</v>
      </c>
      <c r="M33" s="74" t="s">
        <v>86</v>
      </c>
      <c r="N33" s="74" t="s">
        <v>144</v>
      </c>
    </row>
    <row r="34" customFormat="false" ht="12.75" hidden="false" customHeight="false" outlineLevel="0" collapsed="false">
      <c r="J34" s="75" t="n">
        <f aca="false">SUM(E12:E22)</f>
        <v>4230513.12</v>
      </c>
      <c r="K34" s="74" t="n">
        <f aca="false">+E29</f>
        <v>89</v>
      </c>
      <c r="L34" s="74" t="n">
        <f aca="false">+J34/K34</f>
        <v>47533.8552808989</v>
      </c>
      <c r="M34" s="74" t="n">
        <f aca="false">+M11</f>
        <v>16</v>
      </c>
      <c r="N34" s="74" t="n">
        <f aca="false">+L34*M34</f>
        <v>760541.684494382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16" min="16" style="0" width="20.28"/>
    <col collapsed="false" customWidth="true" hidden="true" outlineLevel="0" max="17" min="17" style="0" width="20.85"/>
    <col collapsed="false" customWidth="false" hidden="true" outlineLevel="0" max="18" min="18" style="0" width="9.06"/>
  </cols>
  <sheetData>
    <row r="1" customFormat="false" ht="18" hidden="false" customHeight="false" outlineLevel="0" collapsed="false">
      <c r="B1" s="44" t="str">
        <f aca="false">'[6]Team Report'!B1</f>
        <v>Enron North America</v>
      </c>
      <c r="C1" s="44"/>
      <c r="D1" s="44"/>
      <c r="E1" s="44"/>
      <c r="F1" s="44"/>
      <c r="G1" s="44"/>
      <c r="H1" s="44"/>
      <c r="I1" s="44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</row>
    <row r="2" customFormat="false" ht="18" hidden="false" customHeight="false" outlineLevel="0" collapsed="false">
      <c r="B2" s="44" t="s">
        <v>182</v>
      </c>
      <c r="C2" s="44"/>
      <c r="D2" s="44"/>
      <c r="E2" s="44"/>
      <c r="F2" s="44"/>
      <c r="G2" s="44"/>
      <c r="H2" s="44"/>
      <c r="I2" s="44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</row>
    <row r="3" customFormat="false" ht="18.75" hidden="false" customHeight="false" outlineLevel="0" collapsed="false">
      <c r="B3" s="93" t="s">
        <v>5</v>
      </c>
      <c r="C3" s="93"/>
      <c r="D3" s="93"/>
      <c r="E3" s="93"/>
      <c r="F3" s="93"/>
      <c r="G3" s="93"/>
      <c r="H3" s="93"/>
      <c r="I3" s="93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customFormat="false" ht="12.75" hidden="false" customHeight="false" outlineLevel="0" collapsed="false">
      <c r="K4" s="79"/>
      <c r="L4" s="80"/>
      <c r="M4" s="80"/>
      <c r="N4" s="81"/>
    </row>
    <row r="5" customFormat="false" ht="12.75" hidden="false" customHeight="false" outlineLevel="0" collapsed="false">
      <c r="K5" s="82"/>
      <c r="L5" s="21" t="s">
        <v>85</v>
      </c>
      <c r="M5" s="21" t="s">
        <v>86</v>
      </c>
      <c r="N5" s="83" t="s">
        <v>87</v>
      </c>
    </row>
    <row r="6" customFormat="false" ht="12.75" hidden="false" customHeight="false" outlineLevel="0" collapsed="false">
      <c r="C6" s="54" t="n">
        <v>37135</v>
      </c>
      <c r="E6" s="94" t="n">
        <v>2001</v>
      </c>
      <c r="F6" s="54"/>
      <c r="G6" s="94" t="n">
        <v>2002</v>
      </c>
      <c r="H6" s="54"/>
      <c r="I6" s="54" t="s">
        <v>180</v>
      </c>
      <c r="K6" s="82"/>
      <c r="L6" s="21"/>
      <c r="M6" s="21"/>
      <c r="N6" s="83"/>
      <c r="O6" s="94" t="n">
        <v>2002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/>
      <c r="G7" s="55" t="s">
        <v>94</v>
      </c>
      <c r="H7" s="55"/>
      <c r="I7" s="55" t="s">
        <v>181</v>
      </c>
      <c r="K7" s="82"/>
      <c r="L7" s="21"/>
      <c r="M7" s="21"/>
      <c r="N7" s="8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'[7]Executive Orig'!C8+[7]Trading!C8+[7]Origination!C8+'[7]Mid Market'!C8+[7]Services!C8+[7]Fundamentals!C8</f>
        <v>4789958.99</v>
      </c>
      <c r="E8" s="58" t="n">
        <f aca="false">(C8/9)*12</f>
        <v>6386611.98666667</v>
      </c>
      <c r="F8" s="58"/>
      <c r="G8" s="58" t="n">
        <f aca="false">SUM(N16:N20,N23:N27)</f>
        <v>1896000</v>
      </c>
      <c r="H8" s="58"/>
      <c r="I8" s="85" t="n">
        <f aca="false">+G8/$G$23</f>
        <v>0.571049308332927</v>
      </c>
      <c r="K8" s="82" t="s">
        <v>96</v>
      </c>
      <c r="L8" s="43" t="n">
        <v>0</v>
      </c>
      <c r="M8" s="21" t="n">
        <v>64</v>
      </c>
      <c r="N8" s="86" t="n">
        <f aca="false">N28</f>
        <v>2275200</v>
      </c>
      <c r="O8" s="58" t="n">
        <f aca="false">+G8/$G$29*$O$29</f>
        <v>158000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'[7]Executive Orig'!C9+[7]Trading!C9+[7]Origination!C9+'[7]Mid Market'!C9+[7]Services!C9+[7]Fundamentals!C9</f>
        <v>1464000</v>
      </c>
      <c r="E9" s="58" t="n">
        <f aca="false">+C9</f>
        <v>1464000</v>
      </c>
      <c r="F9" s="58"/>
      <c r="G9" s="58"/>
      <c r="H9" s="58"/>
      <c r="I9" s="85" t="n">
        <f aca="false">+G9/$G$23</f>
        <v>0</v>
      </c>
      <c r="K9" s="82"/>
      <c r="L9" s="21"/>
      <c r="M9" s="21"/>
      <c r="N9" s="83"/>
      <c r="O9" s="58" t="n">
        <f aca="false">+G9/$G$29*$O$29</f>
        <v>0</v>
      </c>
    </row>
    <row r="10" customFormat="false" ht="12.75" hidden="false" customHeight="false" outlineLevel="0" collapsed="false">
      <c r="B10" s="57" t="s">
        <v>176</v>
      </c>
      <c r="C10" s="58" t="n">
        <f aca="false">'[7]Executive Orig'!C10+[7]Trading!C10+[7]Origination!C10+'[7]Mid Market'!C10+[7]Services!C10+[7]Fundamentals!C10</f>
        <v>804567</v>
      </c>
      <c r="E10" s="58" t="n">
        <f aca="false">(C10/9)*12</f>
        <v>1072756</v>
      </c>
      <c r="F10" s="58"/>
      <c r="G10" s="58" t="n">
        <f aca="false">+N21+N22</f>
        <v>0</v>
      </c>
      <c r="H10" s="58"/>
      <c r="I10" s="85" t="n">
        <f aca="false">+G10/$G$23</f>
        <v>0</v>
      </c>
      <c r="K10" s="82"/>
      <c r="L10" s="21"/>
      <c r="M10" s="21"/>
      <c r="N10" s="83"/>
      <c r="O10" s="58" t="n">
        <f aca="false">+G10/$G$29*$O$29</f>
        <v>0</v>
      </c>
      <c r="P10" s="61"/>
      <c r="Q10" s="61"/>
      <c r="R10" s="61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'[7]Executive Orig'!C11+[7]Trading!C11+[7]Origination!C11+'[7]Mid Market'!C11+[7]Services!C11+[7]Fundamentals!C11</f>
        <v>1096068.21</v>
      </c>
      <c r="E11" s="58" t="n">
        <f aca="false">(C11/9)*12</f>
        <v>1461424.28</v>
      </c>
      <c r="F11" s="58"/>
      <c r="G11" s="58" t="n">
        <f aca="false">+G8*0.2+(N21+N22)*0.2</f>
        <v>379200</v>
      </c>
      <c r="H11" s="58"/>
      <c r="I11" s="85" t="n">
        <f aca="false">+G11/$G$23</f>
        <v>0.114209861666585</v>
      </c>
      <c r="K11" s="82" t="s">
        <v>67</v>
      </c>
      <c r="L11" s="74" t="n">
        <f aca="false">(E12+E13+E14+E15+E16+E17+E18+E19+E20+E21+E22)/E29</f>
        <v>47533.8552808989</v>
      </c>
      <c r="M11" s="21" t="n">
        <f aca="false">M28</f>
        <v>12</v>
      </c>
      <c r="N11" s="86" t="n">
        <f aca="false">L11*M11</f>
        <v>570406.263370786</v>
      </c>
      <c r="O11" s="58" t="n">
        <f aca="false">+G11/$G$29*$O$29</f>
        <v>31600</v>
      </c>
      <c r="P11" s="61"/>
      <c r="Q11" s="61"/>
      <c r="R11" s="61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'[7]Executive Orig'!C12+[7]Trading!C12+[7]Origination!C12+'[7]Mid Market'!C12+[7]Services!C12+[7]Fundamentals!C12</f>
        <v>658117.68</v>
      </c>
      <c r="E12" s="62" t="n">
        <f aca="false">((C12/9)*12)*1.2</f>
        <v>1052988.288</v>
      </c>
      <c r="F12" s="58"/>
      <c r="G12" s="58" t="n">
        <f aca="false">+E12/$E$29*$M$11</f>
        <v>141975.94894382</v>
      </c>
      <c r="H12" s="58"/>
      <c r="I12" s="85" t="n">
        <f aca="false">+G12/$G$23</f>
        <v>0.0427612170064766</v>
      </c>
      <c r="K12" s="82"/>
      <c r="L12" s="21"/>
      <c r="M12" s="21"/>
      <c r="N12" s="83"/>
      <c r="O12" s="58" t="n">
        <f aca="false">+G12/$G$29*$O$29</f>
        <v>11831.3290786517</v>
      </c>
      <c r="P12" s="61"/>
      <c r="Q12" s="61"/>
      <c r="R12" s="61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'[7]Executive Orig'!C13+[7]Trading!C13+[7]Origination!C13+'[7]Mid Market'!C13+[7]Services!C13+[7]Fundamentals!C13</f>
        <v>719773.8</v>
      </c>
      <c r="E13" s="62" t="n">
        <f aca="false">((C13/9)*12)*1.2</f>
        <v>1151638.08</v>
      </c>
      <c r="F13" s="58"/>
      <c r="G13" s="58" t="n">
        <f aca="false">+(4000*12)*12</f>
        <v>576000</v>
      </c>
      <c r="H13" s="58"/>
      <c r="I13" s="85" t="n">
        <f aca="false">+G13/$G$23</f>
        <v>0.173483334177092</v>
      </c>
      <c r="K13" s="87" t="s">
        <v>105</v>
      </c>
      <c r="L13" s="88"/>
      <c r="M13" s="88"/>
      <c r="N13" s="89" t="n">
        <f aca="false">N8+N11</f>
        <v>2845606.26337079</v>
      </c>
      <c r="O13" s="58" t="n">
        <f aca="false">+G13/$G$29*$O$29</f>
        <v>48000</v>
      </c>
      <c r="P13" s="61"/>
      <c r="Q13" s="61"/>
      <c r="R13" s="61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'[7]Executive Orig'!C14+[7]Trading!C14+[7]Origination!C14+'[7]Mid Market'!C14+[7]Services!C14+[7]Fundamentals!C14-C32</f>
        <v>0.239999999757856</v>
      </c>
      <c r="E14" s="62" t="n">
        <f aca="false">((C14/9)*12)*1.2</f>
        <v>0.38399999961257</v>
      </c>
      <c r="F14" s="58"/>
      <c r="G14" s="58" t="n">
        <v>50000</v>
      </c>
      <c r="H14" s="58"/>
      <c r="I14" s="85" t="n">
        <f aca="false">+G14/$G$23</f>
        <v>0.0150593172028726</v>
      </c>
      <c r="O14" s="58" t="n">
        <f aca="false">+G14/$G$29*$O$29</f>
        <v>4166.66666666667</v>
      </c>
      <c r="P14" s="61"/>
      <c r="Q14" s="61"/>
      <c r="R14" s="61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'[7]Executive Orig'!C15+[7]Trading!C15+[7]Origination!C15+'[7]Mid Market'!C15+[7]Services!C15+[7]Fundamentals!C15</f>
        <v>128890.14</v>
      </c>
      <c r="E15" s="62" t="n">
        <f aca="false">((C15/9)*12)*1.2</f>
        <v>206224.224</v>
      </c>
      <c r="F15" s="58"/>
      <c r="G15" s="58" t="n">
        <v>31680</v>
      </c>
      <c r="H15" s="58"/>
      <c r="I15" s="85" t="n">
        <f aca="false">+G15/$G$23</f>
        <v>0.00954158337974005</v>
      </c>
      <c r="O15" s="58" t="n">
        <f aca="false">+G15/$G$29*$O$29</f>
        <v>2640</v>
      </c>
      <c r="P15" s="61"/>
      <c r="Q15" s="61"/>
      <c r="R15" s="61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'[7]Executive Orig'!C16+[7]Trading!C16+[7]Origination!C16+'[7]Mid Market'!C16+[7]Services!C16+[7]Fundamentals!C16</f>
        <v>0</v>
      </c>
      <c r="E16" s="62" t="n">
        <f aca="false">((C16/9)*12)*1.2</f>
        <v>0</v>
      </c>
      <c r="F16" s="58"/>
      <c r="G16" s="58" t="n">
        <f aca="false">+E16/$E$29*$M$11</f>
        <v>0</v>
      </c>
      <c r="H16" s="58"/>
      <c r="I16" s="85" t="n">
        <f aca="false">+G16/$G$23</f>
        <v>0</v>
      </c>
      <c r="K16" s="0" t="s">
        <v>177</v>
      </c>
      <c r="L16" s="43" t="n">
        <v>33600</v>
      </c>
      <c r="M16" s="0" t="n">
        <v>0</v>
      </c>
      <c r="N16" s="43" t="n">
        <f aca="false">L16*M16</f>
        <v>0</v>
      </c>
      <c r="O16" s="58" t="n">
        <f aca="false">+G16/$G$29*$O$29</f>
        <v>0</v>
      </c>
      <c r="P16" s="61"/>
      <c r="Q16" s="61"/>
      <c r="R16" s="61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'[7]Executive Orig'!C17+[7]Trading!C17+[7]Origination!C17+'[7]Mid Market'!C17+[7]Services!C17+[7]Fundamentals!C17</f>
        <v>11300</v>
      </c>
      <c r="E17" s="62" t="n">
        <f aca="false">((C17/9)*12)*1.2</f>
        <v>18080</v>
      </c>
      <c r="F17" s="58"/>
      <c r="G17" s="58" t="n">
        <f aca="false">+E17/$E$29*$M$11</f>
        <v>2437.75280898876</v>
      </c>
      <c r="H17" s="58"/>
      <c r="I17" s="85" t="n">
        <f aca="false">+G17/$G$23</f>
        <v>0.000734217856255108</v>
      </c>
      <c r="K17" s="0" t="s">
        <v>115</v>
      </c>
      <c r="L17" s="43" t="n">
        <v>52800</v>
      </c>
      <c r="M17" s="0" t="n">
        <v>0</v>
      </c>
      <c r="N17" s="43" t="n">
        <f aca="false">L17*M17</f>
        <v>0</v>
      </c>
      <c r="O17" s="58" t="n">
        <f aca="false">+G17/$G$29*$O$29</f>
        <v>203.14606741573</v>
      </c>
      <c r="P17" s="61"/>
      <c r="Q17" s="61"/>
      <c r="R17" s="61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'[7]Executive Orig'!C18+[7]Trading!C18+[7]Origination!C18+'[7]Mid Market'!C18+[7]Services!C18+[7]Fundamentals!C18</f>
        <v>327447.74</v>
      </c>
      <c r="E18" s="62" t="n">
        <f aca="false">((C18/9)*12)*1.2</f>
        <v>523916.384</v>
      </c>
      <c r="F18" s="58"/>
      <c r="G18" s="58" t="n">
        <f aca="false">+E18/$E$29*$M$11</f>
        <v>70640.4113258427</v>
      </c>
      <c r="H18" s="58"/>
      <c r="I18" s="85" t="n">
        <f aca="false">+G18/$G$23</f>
        <v>0.0212759272299451</v>
      </c>
      <c r="K18" s="0" t="s">
        <v>118</v>
      </c>
      <c r="L18" s="43" t="n">
        <v>54000</v>
      </c>
      <c r="M18" s="0" t="n">
        <v>0</v>
      </c>
      <c r="N18" s="43" t="n">
        <f aca="false">L18*M18</f>
        <v>0</v>
      </c>
      <c r="O18" s="58" t="n">
        <f aca="false">+G18/$G$29*$O$29</f>
        <v>5886.70094382023</v>
      </c>
      <c r="P18" s="61"/>
      <c r="Q18" s="61"/>
      <c r="R18" s="61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'[7]Executive Orig'!C19+[7]Trading!C19+[7]Origination!C19+'[7]Mid Market'!C19+[7]Services!C19+[7]Fundamentals!C19</f>
        <v>155845.37</v>
      </c>
      <c r="E19" s="62" t="n">
        <f aca="false">((C19/9)*12)*1.2</f>
        <v>249352.592</v>
      </c>
      <c r="F19" s="58"/>
      <c r="G19" s="58" t="n">
        <f aca="false">+E19/$E$29*$M$11</f>
        <v>33620.5742022472</v>
      </c>
      <c r="H19" s="58"/>
      <c r="I19" s="85" t="n">
        <f aca="false">+G19/$G$23</f>
        <v>0.0101260578290871</v>
      </c>
      <c r="K19" s="0" t="s">
        <v>121</v>
      </c>
      <c r="L19" s="43" t="n">
        <v>63000</v>
      </c>
      <c r="M19" s="0" t="n">
        <v>0</v>
      </c>
      <c r="N19" s="43" t="n">
        <f aca="false">L19*M19</f>
        <v>0</v>
      </c>
      <c r="O19" s="58" t="n">
        <f aca="false">+G19/$G$29*$O$29</f>
        <v>2801.71451685393</v>
      </c>
      <c r="P19" s="61"/>
      <c r="Q19" s="61"/>
      <c r="R19" s="61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'[7]Executive Orig'!C20+[7]Trading!C20+[7]Origination!C20+'[7]Mid Market'!C20+[7]Services!C20+[7]Fundamentals!C20</f>
        <v>116.15</v>
      </c>
      <c r="E20" s="62" t="n">
        <f aca="false">((C20/9)*12)*1.2</f>
        <v>185.84</v>
      </c>
      <c r="F20" s="58"/>
      <c r="G20" s="58" t="n">
        <f aca="false">+E20/$E$29*$M$11</f>
        <v>25.0570786516854</v>
      </c>
      <c r="H20" s="58"/>
      <c r="I20" s="85" t="n">
        <f aca="false">+G20/$G$23</f>
        <v>7.54684991186113E-006</v>
      </c>
      <c r="K20" s="0" t="s">
        <v>124</v>
      </c>
      <c r="L20" s="43" t="n">
        <v>78000</v>
      </c>
      <c r="M20" s="0" t="n">
        <v>0</v>
      </c>
      <c r="N20" s="43" t="n">
        <f aca="false">L20*M20</f>
        <v>0</v>
      </c>
      <c r="O20" s="58" t="n">
        <f aca="false">+G20/$G$29*$O$29</f>
        <v>2.08808988764045</v>
      </c>
      <c r="P20" s="61"/>
      <c r="Q20" s="61"/>
      <c r="R20" s="61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'[7]Executive Orig'!C21+[7]Trading!C21+[7]Origination!C21+'[7]Mid Market'!C21+[7]Services!C21+[7]Fundamentals!C21</f>
        <v>566869.93</v>
      </c>
      <c r="E21" s="62" t="n">
        <f aca="false">((C21/9)*12)*1.2</f>
        <v>906991.888</v>
      </c>
      <c r="F21" s="58"/>
      <c r="G21" s="58" t="n">
        <f aca="false">+E21/$E$29*$M$11</f>
        <v>122291.041078652</v>
      </c>
      <c r="H21" s="58"/>
      <c r="I21" s="85" t="n">
        <f aca="false">+G21/$G$23</f>
        <v>0.0368323915734587</v>
      </c>
      <c r="K21" s="0" t="s">
        <v>127</v>
      </c>
      <c r="L21" s="43" t="n">
        <v>66000</v>
      </c>
      <c r="M21" s="0" t="n">
        <v>0</v>
      </c>
      <c r="N21" s="43" t="n">
        <f aca="false">L21*M21</f>
        <v>0</v>
      </c>
      <c r="O21" s="58" t="n">
        <f aca="false">+G21/$G$29*$O$29</f>
        <v>10190.9200898876</v>
      </c>
      <c r="P21" s="61"/>
      <c r="Q21" s="61"/>
      <c r="R21" s="61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'[7]Executive Orig'!C22+[7]Trading!C22+[7]Origination!C22+'[7]Mid Market'!C22+[7]Services!C22+[7]Fundamentals!C22</f>
        <v>75709.65</v>
      </c>
      <c r="E22" s="62" t="n">
        <f aca="false">((C22/9)*12)*1.2</f>
        <v>121135.44</v>
      </c>
      <c r="F22" s="58"/>
      <c r="G22" s="58" t="n">
        <f aca="false">+E22/$E$29*$M$11</f>
        <v>16332.8683146067</v>
      </c>
      <c r="H22" s="58"/>
      <c r="I22" s="85" t="n">
        <f aca="false">+G22/$G$23</f>
        <v>0.00491923689564819</v>
      </c>
      <c r="K22" s="0" t="s">
        <v>130</v>
      </c>
      <c r="L22" s="43" t="n">
        <v>97200</v>
      </c>
      <c r="M22" s="0" t="n">
        <v>0</v>
      </c>
      <c r="N22" s="43" t="n">
        <f aca="false">L22*M22</f>
        <v>0</v>
      </c>
      <c r="O22" s="58" t="n">
        <f aca="false">+G22/$G$29*$O$29</f>
        <v>1361.07235955056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10798664.9</v>
      </c>
      <c r="E23" s="68" t="n">
        <f aca="false">SUM(E8:E22)</f>
        <v>14615305.3866667</v>
      </c>
      <c r="F23" s="70"/>
      <c r="G23" s="68" t="n">
        <f aca="false">SUM(G8:G22)</f>
        <v>3320203.65375281</v>
      </c>
      <c r="H23" s="70"/>
      <c r="I23" s="91" t="n">
        <f aca="false">SUM(I8:I22)</f>
        <v>1</v>
      </c>
      <c r="K23" s="0" t="s">
        <v>133</v>
      </c>
      <c r="L23" s="43" t="n">
        <v>120000</v>
      </c>
      <c r="M23" s="0" t="n">
        <v>5</v>
      </c>
      <c r="N23" s="43" t="n">
        <f aca="false">L23*M23</f>
        <v>600000</v>
      </c>
      <c r="O23" s="68" t="n">
        <f aca="false">SUM(O8:O22)</f>
        <v>276683.637812734</v>
      </c>
    </row>
    <row r="24" customFormat="false" ht="12.75" hidden="false" customHeight="false" outlineLevel="0" collapsed="false">
      <c r="K24" s="0" t="s">
        <v>134</v>
      </c>
      <c r="L24" s="43" t="n">
        <v>156000</v>
      </c>
      <c r="M24" s="0" t="n">
        <v>4</v>
      </c>
      <c r="N24" s="43" t="n">
        <f aca="false">L24*M24</f>
        <v>624000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'[7]Executive Orig'!E25+[7]Trading!E25+[7]Origination!E25+'[7]Mid Market'!E25+[7]Services!E25+[7]Fundamentals!E25</f>
        <v>74</v>
      </c>
      <c r="F25" s="58"/>
      <c r="G25" s="71" t="n">
        <f aca="false">SUM(M16:M20,M23:M27)</f>
        <v>12</v>
      </c>
      <c r="H25" s="58"/>
      <c r="K25" s="0" t="s">
        <v>135</v>
      </c>
      <c r="L25" s="43" t="n">
        <v>180000</v>
      </c>
      <c r="M25" s="0" t="n">
        <v>0</v>
      </c>
      <c r="N25" s="43" t="n">
        <f aca="false">L25*M25</f>
        <v>0</v>
      </c>
      <c r="O25" s="71" t="n">
        <f aca="false">SUM(U16:U20,U23:U27)</f>
        <v>0</v>
      </c>
    </row>
    <row r="26" customFormat="false" ht="12.75" hidden="false" customHeight="false" outlineLevel="0" collapsed="false">
      <c r="C26" s="58"/>
      <c r="E26" s="58"/>
      <c r="F26" s="58"/>
      <c r="G26" s="58"/>
      <c r="H26" s="58"/>
      <c r="K26" s="0" t="s">
        <v>136</v>
      </c>
      <c r="L26" s="43" t="n">
        <v>216000</v>
      </c>
      <c r="M26" s="0" t="n">
        <v>2</v>
      </c>
      <c r="N26" s="43" t="n">
        <f aca="false">L26*M26</f>
        <v>432000</v>
      </c>
      <c r="O26" s="58"/>
    </row>
    <row r="27" customFormat="false" ht="12.75" hidden="false" customHeight="false" outlineLevel="0" collapsed="false">
      <c r="B27" s="67" t="s">
        <v>178</v>
      </c>
      <c r="C27" s="58"/>
      <c r="E27" s="71" t="n">
        <f aca="false">'[7]Executive Orig'!E27+[7]Trading!E27+[7]Origination!E27+'[7]Mid Market'!E27+[7]Services!E27+[7]Fundamentals!E27</f>
        <v>15</v>
      </c>
      <c r="F27" s="58"/>
      <c r="G27" s="71" t="n">
        <f aca="false">+M21+M22</f>
        <v>0</v>
      </c>
      <c r="H27" s="58"/>
      <c r="K27" s="0" t="s">
        <v>138</v>
      </c>
      <c r="L27" s="43" t="n">
        <v>240000</v>
      </c>
      <c r="M27" s="0" t="n">
        <v>1</v>
      </c>
      <c r="N27" s="43" t="n">
        <f aca="false">L27*M27</f>
        <v>240000</v>
      </c>
      <c r="O27" s="71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12</v>
      </c>
      <c r="N28" s="43" t="n">
        <f aca="false">SUM(N16:N27)*1.2</f>
        <v>2275200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89</v>
      </c>
      <c r="F29" s="58"/>
      <c r="G29" s="71" t="n">
        <f aca="false">+G27+G25</f>
        <v>12</v>
      </c>
      <c r="H29" s="58"/>
      <c r="I29" s="43"/>
      <c r="O29" s="71" t="n">
        <v>1</v>
      </c>
    </row>
    <row r="31" customFormat="false" ht="12.75" hidden="false" customHeight="false" outlineLevel="0" collapsed="false">
      <c r="J31" s="16" t="s">
        <v>140</v>
      </c>
      <c r="K31" s="43"/>
      <c r="L31" s="43"/>
      <c r="M31" s="43"/>
    </row>
    <row r="32" customFormat="false" ht="12.75" hidden="true" customHeight="false" outlineLevel="0" collapsed="false">
      <c r="B32" s="57" t="s">
        <v>107</v>
      </c>
      <c r="C32" s="58" t="n">
        <v>677322</v>
      </c>
      <c r="K32" s="43"/>
      <c r="L32" s="43"/>
      <c r="M32" s="43"/>
    </row>
    <row r="33" customFormat="false" ht="12.75" hidden="false" customHeight="false" outlineLevel="0" collapsed="false">
      <c r="J33" s="73" t="s">
        <v>141</v>
      </c>
      <c r="K33" s="74" t="s">
        <v>142</v>
      </c>
      <c r="L33" s="74" t="s">
        <v>143</v>
      </c>
      <c r="M33" s="74" t="s">
        <v>86</v>
      </c>
      <c r="N33" s="74" t="s">
        <v>144</v>
      </c>
    </row>
    <row r="34" customFormat="false" ht="12.75" hidden="false" customHeight="false" outlineLevel="0" collapsed="false">
      <c r="J34" s="75" t="n">
        <f aca="false">SUM(E12:E22)</f>
        <v>4230513.12</v>
      </c>
      <c r="K34" s="74" t="n">
        <f aca="false">+E29</f>
        <v>89</v>
      </c>
      <c r="L34" s="74" t="n">
        <f aca="false">+J34/K34</f>
        <v>47533.8552808989</v>
      </c>
      <c r="M34" s="74" t="n">
        <f aca="false">+M11</f>
        <v>12</v>
      </c>
      <c r="N34" s="74" t="n">
        <f aca="false">+L34*M34</f>
        <v>570406.263370786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64" activeCellId="0" sqref="D6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43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44" t="str">
        <f aca="false">'[8]Team Report'!B1</f>
        <v>Enron North America</v>
      </c>
      <c r="C1" s="44"/>
      <c r="D1" s="44"/>
      <c r="E1" s="44"/>
      <c r="F1" s="44"/>
      <c r="G1" s="44"/>
      <c r="H1" s="46"/>
      <c r="I1" s="45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customFormat="false" ht="18" hidden="false" customHeight="false" outlineLevel="0" collapsed="false">
      <c r="B2" s="44" t="s">
        <v>183</v>
      </c>
      <c r="C2" s="44"/>
      <c r="D2" s="44"/>
      <c r="E2" s="44"/>
      <c r="F2" s="44"/>
      <c r="G2" s="44"/>
      <c r="H2" s="46"/>
      <c r="I2" s="45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8"/>
      <c r="I3" s="45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customFormat="false" ht="12.75" hidden="false" customHeight="false" outlineLevel="0" collapsed="false">
      <c r="H4" s="79"/>
      <c r="I4" s="50"/>
      <c r="J4" s="80"/>
      <c r="K4" s="81"/>
    </row>
    <row r="5" customFormat="false" ht="12.75" hidden="false" customHeight="false" outlineLevel="0" collapsed="false">
      <c r="H5" s="82"/>
      <c r="I5" s="43" t="s">
        <v>85</v>
      </c>
      <c r="J5" s="21" t="s">
        <v>86</v>
      </c>
      <c r="K5" s="83" t="s">
        <v>87</v>
      </c>
    </row>
    <row r="6" customFormat="false" ht="12.75" hidden="false" customHeight="false" outlineLevel="0" collapsed="false">
      <c r="C6" s="54" t="n">
        <v>37135</v>
      </c>
      <c r="E6" s="54" t="s">
        <v>90</v>
      </c>
      <c r="G6" s="54" t="s">
        <v>90</v>
      </c>
      <c r="H6" s="82"/>
      <c r="J6" s="21"/>
      <c r="K6" s="83"/>
      <c r="O6" s="94" t="n">
        <v>2002</v>
      </c>
      <c r="AK6" s="9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94</v>
      </c>
      <c r="H7" s="82"/>
      <c r="J7" s="21"/>
      <c r="K7" s="83"/>
      <c r="O7" s="55" t="s">
        <v>94</v>
      </c>
      <c r="AK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+'[9]Natural Gas'!C8+[9]Ontario!C8+[9]Finance!C8+[9]Executive!C8+[9]Alberta!C8</f>
        <v>2855922.03</v>
      </c>
      <c r="E8" s="58" t="n">
        <f aca="false">+'[9]Natural Gas'!E8+[9]Ontario!E8+[9]Finance!E8+[9]Executive!E8+[9]Alberta!E8</f>
        <v>3807896.04</v>
      </c>
      <c r="G8" s="58" t="n">
        <f aca="false">K28-G10-137496</f>
        <v>990504</v>
      </c>
      <c r="H8" s="82" t="s">
        <v>96</v>
      </c>
      <c r="I8" s="43" t="n">
        <v>0</v>
      </c>
      <c r="J8" s="21"/>
      <c r="K8" s="86" t="n">
        <f aca="false">K28</f>
        <v>1128000</v>
      </c>
      <c r="O8" s="58" t="n">
        <f aca="false">+G8/$G$29*$O$29</f>
        <v>141500.571428571</v>
      </c>
      <c r="AK8" s="58"/>
    </row>
    <row r="9" customFormat="false" ht="12.75" hidden="false" customHeight="false" outlineLevel="0" collapsed="false">
      <c r="A9" s="56"/>
      <c r="B9" s="57" t="s">
        <v>97</v>
      </c>
      <c r="C9" s="58" t="n">
        <f aca="false">+'[9]Natural Gas'!C9+[9]Ontario!C9+[9]Finance!C9+[9]Executive!C9+[9]Alberta!C9</f>
        <v>0</v>
      </c>
      <c r="E9" s="58" t="n">
        <f aca="false">+'[9]Natural Gas'!E9+[9]Ontario!E9+[9]Finance!E9+[9]Executive!E9+[9]Alberta!E9</f>
        <v>0</v>
      </c>
      <c r="G9" s="58" t="n">
        <v>0</v>
      </c>
      <c r="H9" s="82"/>
      <c r="J9" s="21"/>
      <c r="K9" s="83"/>
      <c r="O9" s="58" t="n">
        <f aca="false">+G9/$G$29*$O$29</f>
        <v>0</v>
      </c>
      <c r="AK9" s="58"/>
    </row>
    <row r="10" customFormat="false" ht="12.75" hidden="false" customHeight="false" outlineLevel="0" collapsed="false">
      <c r="A10" s="56"/>
      <c r="B10" s="57" t="s">
        <v>184</v>
      </c>
      <c r="C10" s="58" t="n">
        <v>0</v>
      </c>
      <c r="E10" s="58" t="n">
        <v>0</v>
      </c>
      <c r="G10" s="58" t="n">
        <f aca="false">K22+K21</f>
        <v>0</v>
      </c>
      <c r="H10" s="82"/>
      <c r="J10" s="21"/>
      <c r="K10" s="83"/>
      <c r="O10" s="58" t="n">
        <f aca="false">+G10/$G$29*$O$29</f>
        <v>0</v>
      </c>
      <c r="AK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+'[9]Natural Gas'!C11+[9]Ontario!C11+[9]Finance!C11+[9]Executive!C10+[9]Alberta!C11</f>
        <v>312682.37</v>
      </c>
      <c r="E11" s="58" t="n">
        <f aca="false">+'[9]Natural Gas'!E11+[9]Ontario!E11+[9]Finance!E11+[9]Executive!E10+[9]Alberta!E11</f>
        <v>416909.826666667</v>
      </c>
      <c r="G11" s="58" t="n">
        <f aca="false">G8*0.3105+52</f>
        <v>307603.492</v>
      </c>
      <c r="H11" s="82" t="s">
        <v>67</v>
      </c>
      <c r="I11" s="74" t="n">
        <f aca="false">(E12+E13+E14+E15+E16+E17+E18+E19+E20+E21+E22)/E29</f>
        <v>31253.50784</v>
      </c>
      <c r="J11" s="21" t="n">
        <f aca="false">J28</f>
        <v>7</v>
      </c>
      <c r="K11" s="86" t="n">
        <f aca="false">I11*J11</f>
        <v>218774.55488</v>
      </c>
      <c r="O11" s="58" t="n">
        <f aca="false">+G11/$G$29*$O$29</f>
        <v>43943.356</v>
      </c>
      <c r="AK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+'[9]Natural Gas'!C12+[9]Ontario!C12+[9]Finance!C12+[9]Executive!C12+[9]Alberta!C12</f>
        <v>67320.13</v>
      </c>
      <c r="E12" s="62" t="n">
        <f aca="false">(+'[9]Natural Gas'!E12+[9]Ontario!E12+[9]Finance!E12+[9]Executive!E12+[9]Alberta!E12)*1.2</f>
        <v>107712.208</v>
      </c>
      <c r="G12" s="58" t="n">
        <f aca="false">(E12/$E$29)*$G$29</f>
        <v>15079.70912</v>
      </c>
      <c r="H12" s="82"/>
      <c r="J12" s="21"/>
      <c r="K12" s="83"/>
      <c r="O12" s="58" t="n">
        <f aca="false">+G12/$G$29*$O$29</f>
        <v>2154.24416</v>
      </c>
      <c r="AK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+'[9]Natural Gas'!C13+[9]Ontario!C13+[9]Finance!C13+[9]Executive!C13+[9]Alberta!C13</f>
        <v>297871.84</v>
      </c>
      <c r="E13" s="62" t="n">
        <f aca="false">(+'[9]Natural Gas'!E13+[9]Ontario!E13+[9]Finance!E13+[9]Executive!E13+[9]Alberta!E13)*1.2</f>
        <v>476594.944</v>
      </c>
      <c r="G13" s="58" t="n">
        <f aca="false">(E13/$E$29)*$G$29</f>
        <v>66723.29216</v>
      </c>
      <c r="H13" s="87" t="s">
        <v>105</v>
      </c>
      <c r="I13" s="64"/>
      <c r="J13" s="88"/>
      <c r="K13" s="89" t="n">
        <f aca="false">K8+K11</f>
        <v>1346774.55488</v>
      </c>
      <c r="O13" s="58" t="n">
        <f aca="false">+G13/$G$29*$O$29</f>
        <v>9531.89888</v>
      </c>
      <c r="AK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+'[9]Natural Gas'!C14+[9]Ontario!C14+[9]Finance!C14+[9]Executive!C14+[9]Alberta!C14</f>
        <v>505739.98</v>
      </c>
      <c r="E14" s="62" t="n">
        <f aca="false">(+'[9]Natural Gas'!E14+[9]Ontario!E14+[9]Finance!E14+[9]Executive!E14+[9]Alberta!E14)*1.2</f>
        <v>809183.968</v>
      </c>
      <c r="G14" s="58" t="n">
        <f aca="false">(E14/$E$29)*$G$29</f>
        <v>113285.75552</v>
      </c>
      <c r="O14" s="58" t="n">
        <f aca="false">+G14/$G$29*$O$29</f>
        <v>16183.67936</v>
      </c>
      <c r="AK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+'[9]Natural Gas'!C15+[9]Ontario!C15+[9]Finance!C15+[9]Executive!C15+[9]Alberta!C15</f>
        <v>6427.42</v>
      </c>
      <c r="E15" s="62" t="n">
        <f aca="false">(+'[9]Natural Gas'!E15+[9]Ontario!E15+[9]Finance!E15+[9]Executive!E15+[9]Alberta!E15)*1.2</f>
        <v>10283.872</v>
      </c>
      <c r="G15" s="58" t="n">
        <f aca="false">(E15/$E$29)*$G$29</f>
        <v>1439.74208</v>
      </c>
      <c r="O15" s="58" t="n">
        <f aca="false">+G15/$G$29*$O$29</f>
        <v>205.67744</v>
      </c>
      <c r="AK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+'[9]Natural Gas'!C16+[9]Ontario!C16+[9]Finance!C16+[9]Executive!C16+[9]Alberta!C16</f>
        <v>0</v>
      </c>
      <c r="E16" s="62" t="n">
        <f aca="false">(+'[9]Natural Gas'!E16+[9]Ontario!E16+[9]Finance!E16+[9]Executive!E16+[9]Alberta!E16)*1.2</f>
        <v>0</v>
      </c>
      <c r="G16" s="58" t="n">
        <f aca="false">(E16/$E$29)*$G$29</f>
        <v>0</v>
      </c>
      <c r="H16" s="0" t="s">
        <v>177</v>
      </c>
      <c r="I16" s="43" t="n">
        <v>33600</v>
      </c>
      <c r="J16" s="0" t="n">
        <v>0</v>
      </c>
      <c r="K16" s="0" t="n">
        <f aca="false">I16*J16</f>
        <v>0</v>
      </c>
      <c r="O16" s="58" t="n">
        <f aca="false">+G16/$G$29*$O$29</f>
        <v>0</v>
      </c>
      <c r="AK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+'[9]Natural Gas'!C17+[9]Ontario!C17+[9]Finance!C17+[9]Executive!C17+[9]Alberta!C17</f>
        <v>1883.62</v>
      </c>
      <c r="E17" s="62" t="n">
        <f aca="false">(+'[9]Natural Gas'!E17+[9]Ontario!E17+[9]Finance!E17+[9]Executive!E17+[9]Alberta!E17)*1.2</f>
        <v>3013.792</v>
      </c>
      <c r="G17" s="58" t="n">
        <f aca="false">(E17/$E$29)*$G$29</f>
        <v>421.93088</v>
      </c>
      <c r="H17" s="0" t="s">
        <v>115</v>
      </c>
      <c r="I17" s="43" t="n">
        <v>52800</v>
      </c>
      <c r="J17" s="0" t="n">
        <v>0</v>
      </c>
      <c r="K17" s="0" t="n">
        <f aca="false">I17*J17</f>
        <v>0</v>
      </c>
      <c r="O17" s="58" t="n">
        <f aca="false">+G17/$G$29*$O$29</f>
        <v>60.27584</v>
      </c>
      <c r="AK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+'[9]Natural Gas'!C18+[9]Ontario!C18+[9]Finance!C18+[9]Executive!C18+[9]Alberta!C18</f>
        <v>19208.42</v>
      </c>
      <c r="E18" s="62" t="n">
        <f aca="false">(+'[9]Natural Gas'!E18+[9]Ontario!E18+[9]Finance!E18+[9]Executive!E18+[9]Alberta!E18)*1.2</f>
        <v>30733.472</v>
      </c>
      <c r="G18" s="58" t="n">
        <f aca="false">(E18/$E$29)*$G$29</f>
        <v>4302.68608</v>
      </c>
      <c r="H18" s="0" t="s">
        <v>118</v>
      </c>
      <c r="I18" s="43" t="n">
        <v>54000</v>
      </c>
      <c r="J18" s="0" t="n">
        <v>0</v>
      </c>
      <c r="K18" s="0" t="n">
        <f aca="false">I18*J18</f>
        <v>0</v>
      </c>
      <c r="O18" s="58" t="n">
        <f aca="false">+G18/$G$29*$O$29</f>
        <v>614.66944</v>
      </c>
      <c r="AK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+'[9]Natural Gas'!C19+[9]Ontario!C19+[9]Finance!C19+[9]Executive!C19+[9]Alberta!C19</f>
        <v>52344.84</v>
      </c>
      <c r="E19" s="62" t="n">
        <f aca="false">(+'[9]Natural Gas'!E19+[9]Ontario!E19+[9]Finance!E19+[9]Executive!E19+[9]Alberta!E19)*1.2</f>
        <v>83751.744</v>
      </c>
      <c r="G19" s="58" t="n">
        <f aca="false">(E19/$E$29)*$G$29</f>
        <v>11725.24416</v>
      </c>
      <c r="H19" s="0" t="s">
        <v>121</v>
      </c>
      <c r="I19" s="43" t="n">
        <v>63000</v>
      </c>
      <c r="J19" s="0" t="n">
        <v>0</v>
      </c>
      <c r="K19" s="0" t="n">
        <f aca="false">I19*J19</f>
        <v>0</v>
      </c>
      <c r="O19" s="58" t="n">
        <f aca="false">+G19/$G$29*$O$29</f>
        <v>1675.03488</v>
      </c>
      <c r="AK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+'[9]Natural Gas'!C20+[9]Ontario!C20+[9]Finance!C20+[9]Executive!C20+[9]Alberta!C20</f>
        <v>0</v>
      </c>
      <c r="E20" s="62" t="n">
        <f aca="false">(+'[9]Natural Gas'!E20+[9]Ontario!E20+[9]Finance!E20+[9]Executive!E20+[9]Alberta!E20)*1.2</f>
        <v>0</v>
      </c>
      <c r="G20" s="58" t="n">
        <f aca="false">(E20/$E$29)*$G$29</f>
        <v>0</v>
      </c>
      <c r="H20" s="0" t="s">
        <v>124</v>
      </c>
      <c r="I20" s="43" t="n">
        <v>78000</v>
      </c>
      <c r="J20" s="0" t="n">
        <v>0</v>
      </c>
      <c r="K20" s="0" t="n">
        <f aca="false">I20*J20</f>
        <v>0</v>
      </c>
      <c r="O20" s="58" t="n">
        <f aca="false">+G20/$G$29*$O$29</f>
        <v>0</v>
      </c>
      <c r="AK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+'[9]Natural Gas'!C21+[9]Ontario!C21+[9]Finance!C21+[9]Executive!C21+[9]Alberta!C21</f>
        <v>19769.17</v>
      </c>
      <c r="E21" s="62" t="n">
        <f aca="false">(+'[9]Natural Gas'!E21+[9]Ontario!E21+[9]Finance!E21+[9]Executive!E21+[9]Alberta!E21)*1.2</f>
        <v>31630.6720000001</v>
      </c>
      <c r="G21" s="58" t="n">
        <f aca="false">(E21/$E$29)*$G$29</f>
        <v>4428.29408000001</v>
      </c>
      <c r="H21" s="0" t="s">
        <v>127</v>
      </c>
      <c r="I21" s="43" t="n">
        <v>66000</v>
      </c>
      <c r="J21" s="0" t="n">
        <v>0</v>
      </c>
      <c r="K21" s="0" t="n">
        <f aca="false">I21*J21</f>
        <v>0</v>
      </c>
      <c r="O21" s="58" t="n">
        <f aca="false">+G21/$G$29*$O$29</f>
        <v>632.613440000002</v>
      </c>
      <c r="AK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+'[9]Natural Gas'!C22+[9]Ontario!C22+[9]Finance!C22+[9]Executive!C22+[9]Alberta!C22</f>
        <v>6106.70000000001</v>
      </c>
      <c r="E22" s="62" t="n">
        <f aca="false">(+'[9]Natural Gas'!E22+[9]Ontario!E22+[9]Finance!E22+[9]Executive!E22+[9]Alberta!E22)*1.2</f>
        <v>9770.72000000001</v>
      </c>
      <c r="G22" s="58" t="n">
        <f aca="false">(E22/$E$29)*$G$29</f>
        <v>1367.9008</v>
      </c>
      <c r="H22" s="0" t="s">
        <v>130</v>
      </c>
      <c r="I22" s="43" t="n">
        <v>97200</v>
      </c>
      <c r="J22" s="0" t="n">
        <v>0</v>
      </c>
      <c r="K22" s="0" t="n">
        <f aca="false">I22*J22</f>
        <v>0</v>
      </c>
      <c r="O22" s="58" t="n">
        <f aca="false">+G22/$G$29*$O$29</f>
        <v>195.4144</v>
      </c>
      <c r="AK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4145276.52</v>
      </c>
      <c r="E23" s="68" t="n">
        <f aca="false">SUM(E8:E22)</f>
        <v>5787481.25866667</v>
      </c>
      <c r="G23" s="68" t="n">
        <f aca="false">SUM(G8:G22)</f>
        <v>1516882.04688</v>
      </c>
      <c r="H23" s="0" t="s">
        <v>133</v>
      </c>
      <c r="I23" s="43" t="n">
        <v>120000</v>
      </c>
      <c r="J23" s="0" t="n">
        <v>3</v>
      </c>
      <c r="K23" s="0" t="n">
        <f aca="false">I23*J23</f>
        <v>360000</v>
      </c>
      <c r="O23" s="68" t="n">
        <f aca="false">SUM(O8:O22)</f>
        <v>216697.435268571</v>
      </c>
      <c r="AK23" s="70"/>
    </row>
    <row r="24" customFormat="false" ht="12.75" hidden="false" customHeight="false" outlineLevel="0" collapsed="false">
      <c r="H24" s="0" t="s">
        <v>134</v>
      </c>
      <c r="I24" s="43" t="n">
        <v>156000</v>
      </c>
      <c r="J24" s="0" t="n">
        <v>2</v>
      </c>
      <c r="K24" s="0" t="n">
        <f aca="false">I24*J24</f>
        <v>312000</v>
      </c>
      <c r="AK24" s="21"/>
    </row>
    <row r="25" customFormat="false" ht="12.75" hidden="false" customHeight="false" outlineLevel="0" collapsed="false">
      <c r="B25" s="67" t="s">
        <v>9</v>
      </c>
      <c r="C25" s="3"/>
      <c r="E25" s="95" t="n">
        <f aca="false">+'[9]Natural Gas'!E25+[9]Ontario!E25+[9]Finance!E25+[9]Executive!E25+[9]Alberta!E25</f>
        <v>30</v>
      </c>
      <c r="G25" s="95" t="n">
        <f aca="false">SUM(J16:J20,J23:J27)</f>
        <v>7</v>
      </c>
      <c r="H25" s="0" t="s">
        <v>135</v>
      </c>
      <c r="I25" s="43" t="n">
        <v>180000</v>
      </c>
      <c r="J25" s="0" t="n">
        <v>0</v>
      </c>
      <c r="K25" s="0" t="n">
        <f aca="false">I25*J25</f>
        <v>0</v>
      </c>
      <c r="O25" s="71" t="n">
        <f aca="false">SUM(U16:U20,U23:U27)</f>
        <v>0</v>
      </c>
      <c r="AK25" s="58"/>
    </row>
    <row r="26" customFormat="false" ht="12.75" hidden="false" customHeight="false" outlineLevel="0" collapsed="false">
      <c r="C26" s="58"/>
      <c r="E26" s="57"/>
      <c r="G26" s="57"/>
      <c r="H26" s="0" t="s">
        <v>136</v>
      </c>
      <c r="I26" s="43" t="n">
        <v>216000</v>
      </c>
      <c r="J26" s="0" t="n">
        <v>1</v>
      </c>
      <c r="K26" s="0" t="n">
        <f aca="false">I26*J26</f>
        <v>216000</v>
      </c>
      <c r="O26" s="58"/>
      <c r="AK26" s="58"/>
    </row>
    <row r="27" customFormat="false" ht="12.75" hidden="false" customHeight="false" outlineLevel="0" collapsed="false">
      <c r="B27" s="67" t="s">
        <v>178</v>
      </c>
      <c r="C27" s="58"/>
      <c r="E27" s="95" t="n">
        <f aca="false">+'[9]Natural Gas'!E27+[9]Ontario!E27+[9]Finance!E27+[9]Executive!E27+[9]Alberta!E27</f>
        <v>20</v>
      </c>
      <c r="G27" s="95" t="n">
        <f aca="false">SUM(J21:J22)</f>
        <v>0</v>
      </c>
      <c r="H27" s="0" t="s">
        <v>185</v>
      </c>
      <c r="I27" s="43" t="n">
        <v>240000</v>
      </c>
      <c r="J27" s="0" t="n">
        <v>1</v>
      </c>
      <c r="K27" s="0" t="n">
        <f aca="false">I27*J27</f>
        <v>240000</v>
      </c>
      <c r="O27" s="71" t="n">
        <f aca="false">+U21+U22</f>
        <v>0</v>
      </c>
      <c r="AK27" s="58"/>
    </row>
    <row r="28" customFormat="false" ht="12.75" hidden="false" customHeight="false" outlineLevel="0" collapsed="false">
      <c r="J28" s="0" t="n">
        <f aca="false">SUM(J16:J27)</f>
        <v>7</v>
      </c>
      <c r="K28" s="0" t="n">
        <f aca="false">SUM(K16:K27)</f>
        <v>1128000</v>
      </c>
      <c r="AK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50</v>
      </c>
      <c r="F29" s="58"/>
      <c r="G29" s="71" t="n">
        <f aca="false">+G27+G25</f>
        <v>7</v>
      </c>
      <c r="H29" s="60"/>
      <c r="O29" s="71" t="n">
        <v>1</v>
      </c>
      <c r="AK29" s="58"/>
    </row>
    <row r="30" customFormat="false" ht="12.75" hidden="true" customHeight="false" outlineLevel="0" collapsed="false"/>
    <row r="31" customFormat="false" ht="12.75" hidden="true" customHeight="false" outlineLevel="0" collapsed="false">
      <c r="A31" s="56" t="s">
        <v>186</v>
      </c>
      <c r="B31" s="57" t="s">
        <v>187</v>
      </c>
      <c r="C31" s="58"/>
      <c r="E31" s="58"/>
      <c r="G31" s="16" t="s">
        <v>140</v>
      </c>
      <c r="H31" s="43"/>
      <c r="J31" s="43"/>
    </row>
    <row r="32" customFormat="false" ht="12.75" hidden="true" customHeight="false" outlineLevel="0" collapsed="false">
      <c r="A32" s="56" t="s">
        <v>188</v>
      </c>
      <c r="B32" s="57"/>
      <c r="C32" s="58"/>
      <c r="E32" s="58"/>
      <c r="H32" s="43"/>
      <c r="J32" s="43"/>
    </row>
    <row r="33" customFormat="false" ht="12.75" hidden="true" customHeight="false" outlineLevel="0" collapsed="false">
      <c r="A33" s="56" t="s">
        <v>189</v>
      </c>
      <c r="B33" s="57"/>
      <c r="C33" s="58"/>
      <c r="E33" s="58"/>
      <c r="G33" s="73" t="s">
        <v>141</v>
      </c>
      <c r="H33" s="74" t="s">
        <v>142</v>
      </c>
      <c r="I33" s="74" t="s">
        <v>143</v>
      </c>
      <c r="J33" s="74" t="s">
        <v>86</v>
      </c>
      <c r="K33" s="74" t="s">
        <v>144</v>
      </c>
    </row>
    <row r="34" customFormat="false" ht="12.75" hidden="true" customHeight="false" outlineLevel="0" collapsed="false">
      <c r="A34" s="56" t="s">
        <v>190</v>
      </c>
      <c r="B34" s="57"/>
      <c r="C34" s="58"/>
      <c r="E34" s="58"/>
      <c r="G34" s="75" t="n">
        <f aca="false">SUM(E12:E22)</f>
        <v>1562675.392</v>
      </c>
      <c r="H34" s="74" t="n">
        <f aca="false">+E29</f>
        <v>50</v>
      </c>
      <c r="I34" s="74" t="n">
        <f aca="false">+G34/H34</f>
        <v>31253.50784</v>
      </c>
      <c r="J34" s="74" t="n">
        <f aca="false">+J11</f>
        <v>7</v>
      </c>
      <c r="K34" s="74" t="n">
        <f aca="false">+I34*J34</f>
        <v>218774.55488</v>
      </c>
    </row>
    <row r="35" customFormat="false" ht="12.75" hidden="true" customHeight="false" outlineLevel="0" collapsed="false">
      <c r="A35" s="56" t="s">
        <v>191</v>
      </c>
      <c r="B35" s="57"/>
      <c r="C35" s="58"/>
      <c r="E35" s="58"/>
    </row>
    <row r="36" customFormat="false" ht="12.75" hidden="true" customHeight="false" outlineLevel="0" collapsed="false">
      <c r="A36" s="56" t="s">
        <v>192</v>
      </c>
      <c r="B36" s="57"/>
      <c r="C36" s="58"/>
      <c r="E36" s="58"/>
    </row>
    <row r="37" customFormat="false" ht="12.75" hidden="true" customHeight="false" outlineLevel="0" collapsed="false">
      <c r="A37" s="56" t="s">
        <v>193</v>
      </c>
      <c r="B37" s="57"/>
      <c r="C37" s="58"/>
      <c r="E37" s="58"/>
    </row>
    <row r="38" customFormat="false" ht="12.75" hidden="true" customHeight="false" outlineLevel="0" collapsed="false">
      <c r="A38" s="56" t="s">
        <v>194</v>
      </c>
      <c r="B38" s="57"/>
      <c r="C38" s="58"/>
      <c r="E38" s="58"/>
    </row>
    <row r="39" customFormat="false" ht="12.75" hidden="true" customHeight="false" outlineLevel="0" collapsed="false">
      <c r="B39" s="57"/>
      <c r="C39" s="58"/>
      <c r="E39" s="58"/>
    </row>
    <row r="40" customFormat="false" ht="12.75" hidden="true" customHeight="false" outlineLevel="0" collapsed="false">
      <c r="B40" s="57"/>
      <c r="C40" s="58"/>
      <c r="E40" s="58"/>
    </row>
    <row r="41" customFormat="false" ht="12.75" hidden="true" customHeight="false" outlineLevel="0" collapsed="false">
      <c r="B41" s="57"/>
      <c r="C41" s="58"/>
      <c r="E41" s="58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96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64" activeCellId="0" sqref="D6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43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44" t="str">
        <f aca="false">'[8]Team Report'!B1</f>
        <v>Enron North America</v>
      </c>
      <c r="C1" s="44"/>
      <c r="D1" s="44"/>
      <c r="E1" s="44"/>
      <c r="F1" s="44"/>
      <c r="G1" s="44"/>
      <c r="H1" s="46"/>
      <c r="I1" s="45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customFormat="false" ht="18" hidden="false" customHeight="false" outlineLevel="0" collapsed="false">
      <c r="B2" s="44" t="s">
        <v>195</v>
      </c>
      <c r="C2" s="44"/>
      <c r="D2" s="44"/>
      <c r="E2" s="44"/>
      <c r="F2" s="44"/>
      <c r="G2" s="44"/>
      <c r="H2" s="46"/>
      <c r="I2" s="45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8"/>
      <c r="I3" s="45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customFormat="false" ht="12.75" hidden="false" customHeight="false" outlineLevel="0" collapsed="false">
      <c r="H4" s="79"/>
      <c r="I4" s="50"/>
      <c r="J4" s="80"/>
      <c r="K4" s="81"/>
    </row>
    <row r="5" customFormat="false" ht="12.75" hidden="false" customHeight="false" outlineLevel="0" collapsed="false">
      <c r="H5" s="82"/>
      <c r="I5" s="43" t="s">
        <v>85</v>
      </c>
      <c r="J5" s="21" t="s">
        <v>86</v>
      </c>
      <c r="K5" s="83" t="s">
        <v>87</v>
      </c>
    </row>
    <row r="6" customFormat="false" ht="12.75" hidden="false" customHeight="false" outlineLevel="0" collapsed="false">
      <c r="C6" s="54" t="n">
        <v>37135</v>
      </c>
      <c r="E6" s="54" t="s">
        <v>90</v>
      </c>
      <c r="G6" s="54" t="s">
        <v>90</v>
      </c>
      <c r="H6" s="82"/>
      <c r="J6" s="21"/>
      <c r="K6" s="83"/>
      <c r="O6" s="94" t="n">
        <v>2002</v>
      </c>
      <c r="AK6" s="9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94</v>
      </c>
      <c r="H7" s="82"/>
      <c r="J7" s="21"/>
      <c r="K7" s="83"/>
      <c r="O7" s="55" t="s">
        <v>94</v>
      </c>
      <c r="AK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+'[9]Natural Gas'!C8+[9]Ontario!C8+[9]Finance!C8+[9]Executive!C8+[9]Alberta!C8</f>
        <v>2855922.03</v>
      </c>
      <c r="E8" s="58" t="n">
        <f aca="false">+'[9]Natural Gas'!E8+[9]Ontario!E8+[9]Finance!E8+[9]Executive!E8+[9]Alberta!E8</f>
        <v>3807896.04</v>
      </c>
      <c r="G8" s="58" t="n">
        <f aca="false">K28-G10-137496</f>
        <v>1206504</v>
      </c>
      <c r="H8" s="82" t="s">
        <v>96</v>
      </c>
      <c r="I8" s="43" t="n">
        <v>0</v>
      </c>
      <c r="J8" s="21"/>
      <c r="K8" s="86" t="n">
        <f aca="false">K28</f>
        <v>1344000</v>
      </c>
      <c r="O8" s="58" t="n">
        <f aca="false">+G8/$G$29*$O$29</f>
        <v>134056</v>
      </c>
      <c r="AK8" s="58"/>
    </row>
    <row r="9" customFormat="false" ht="12.75" hidden="false" customHeight="false" outlineLevel="0" collapsed="false">
      <c r="A9" s="56"/>
      <c r="B9" s="57" t="s">
        <v>97</v>
      </c>
      <c r="C9" s="58" t="n">
        <f aca="false">+'[9]Natural Gas'!C9+[9]Ontario!C9+[9]Finance!C9+[9]Executive!C9+[9]Alberta!C9</f>
        <v>0</v>
      </c>
      <c r="E9" s="58" t="n">
        <f aca="false">+'[9]Natural Gas'!E9+[9]Ontario!E9+[9]Finance!E9+[9]Executive!E9+[9]Alberta!E9</f>
        <v>0</v>
      </c>
      <c r="G9" s="58" t="n">
        <v>0</v>
      </c>
      <c r="H9" s="82"/>
      <c r="J9" s="21"/>
      <c r="K9" s="83"/>
      <c r="O9" s="58" t="n">
        <f aca="false">+G9/$G$29*$O$29</f>
        <v>0</v>
      </c>
      <c r="AK9" s="58"/>
    </row>
    <row r="10" customFormat="false" ht="12.75" hidden="false" customHeight="false" outlineLevel="0" collapsed="false">
      <c r="A10" s="56"/>
      <c r="B10" s="57" t="s">
        <v>184</v>
      </c>
      <c r="C10" s="58" t="n">
        <v>0</v>
      </c>
      <c r="E10" s="58" t="n">
        <v>0</v>
      </c>
      <c r="G10" s="58" t="n">
        <f aca="false">K22+K21</f>
        <v>0</v>
      </c>
      <c r="H10" s="82"/>
      <c r="J10" s="21"/>
      <c r="K10" s="83"/>
      <c r="O10" s="58" t="n">
        <f aca="false">+G10/$G$29*$O$29</f>
        <v>0</v>
      </c>
      <c r="AK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+'[9]Natural Gas'!C11+[9]Ontario!C11+[9]Finance!C11+[9]Executive!C10+[9]Alberta!C11</f>
        <v>312682.37</v>
      </c>
      <c r="E11" s="58" t="n">
        <f aca="false">+'[9]Natural Gas'!E11+[9]Ontario!E11+[9]Finance!E11+[9]Executive!E10+[9]Alberta!E11</f>
        <v>416909.826666667</v>
      </c>
      <c r="G11" s="58" t="n">
        <f aca="false">G8*0.3105+52</f>
        <v>374671.492</v>
      </c>
      <c r="H11" s="82" t="s">
        <v>67</v>
      </c>
      <c r="I11" s="74" t="n">
        <f aca="false">(E12+E13+E14+E15+E16+E17+E18+E19+E20+E21+E22)/E29</f>
        <v>31253.50784</v>
      </c>
      <c r="J11" s="21" t="n">
        <f aca="false">J28</f>
        <v>9</v>
      </c>
      <c r="K11" s="86" t="n">
        <f aca="false">I11*J11</f>
        <v>281281.57056</v>
      </c>
      <c r="O11" s="58" t="n">
        <f aca="false">+G11/$G$29*$O$29</f>
        <v>41630.1657777778</v>
      </c>
      <c r="AK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+'[9]Natural Gas'!C12+[9]Ontario!C12+[9]Finance!C12+[9]Executive!C12+[9]Alberta!C12</f>
        <v>67320.13</v>
      </c>
      <c r="E12" s="62" t="n">
        <f aca="false">(+'[9]Natural Gas'!E12+[9]Ontario!E12+[9]Finance!E12+[9]Executive!E12+[9]Alberta!E12)*1.2</f>
        <v>107712.208</v>
      </c>
      <c r="G12" s="58" t="n">
        <f aca="false">(E12/$E$29)*$G$29</f>
        <v>19388.19744</v>
      </c>
      <c r="H12" s="82"/>
      <c r="J12" s="21"/>
      <c r="K12" s="83"/>
      <c r="O12" s="58" t="n">
        <f aca="false">+G12/$G$29*$O$29</f>
        <v>2154.24416</v>
      </c>
      <c r="AK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+'[9]Natural Gas'!C13+[9]Ontario!C13+[9]Finance!C13+[9]Executive!C13+[9]Alberta!C13</f>
        <v>297871.84</v>
      </c>
      <c r="E13" s="62" t="n">
        <f aca="false">(+'[9]Natural Gas'!E13+[9]Ontario!E13+[9]Finance!E13+[9]Executive!E13+[9]Alberta!E13)*1.2</f>
        <v>476594.944</v>
      </c>
      <c r="G13" s="58" t="n">
        <f aca="false">(E13/$E$29)*$G$29</f>
        <v>85787.08992</v>
      </c>
      <c r="H13" s="87" t="s">
        <v>105</v>
      </c>
      <c r="I13" s="64"/>
      <c r="J13" s="88"/>
      <c r="K13" s="89" t="n">
        <f aca="false">K8+K11</f>
        <v>1625281.57056</v>
      </c>
      <c r="O13" s="58" t="n">
        <f aca="false">+G13/$G$29*$O$29</f>
        <v>9531.89888</v>
      </c>
      <c r="AK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+'[9]Natural Gas'!C14+[9]Ontario!C14+[9]Finance!C14+[9]Executive!C14+[9]Alberta!C14</f>
        <v>505739.98</v>
      </c>
      <c r="E14" s="62" t="n">
        <f aca="false">(+'[9]Natural Gas'!E14+[9]Ontario!E14+[9]Finance!E14+[9]Executive!E14+[9]Alberta!E14)*1.2</f>
        <v>809183.968</v>
      </c>
      <c r="G14" s="58" t="n">
        <f aca="false">(E14/$E$29)*$G$29</f>
        <v>145653.11424</v>
      </c>
      <c r="O14" s="58" t="n">
        <f aca="false">+G14/$G$29*$O$29</f>
        <v>16183.67936</v>
      </c>
      <c r="AK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+'[9]Natural Gas'!C15+[9]Ontario!C15+[9]Finance!C15+[9]Executive!C15+[9]Alberta!C15</f>
        <v>6427.42</v>
      </c>
      <c r="E15" s="62" t="n">
        <f aca="false">(+'[9]Natural Gas'!E15+[9]Ontario!E15+[9]Finance!E15+[9]Executive!E15+[9]Alberta!E15)*1.2</f>
        <v>10283.872</v>
      </c>
      <c r="G15" s="58" t="n">
        <f aca="false">(E15/$E$29)*$G$29</f>
        <v>1851.09696</v>
      </c>
      <c r="O15" s="58" t="n">
        <f aca="false">+G15/$G$29*$O$29</f>
        <v>205.67744</v>
      </c>
      <c r="AK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+'[9]Natural Gas'!C16+[9]Ontario!C16+[9]Finance!C16+[9]Executive!C16+[9]Alberta!C16</f>
        <v>0</v>
      </c>
      <c r="E16" s="62" t="n">
        <f aca="false">(+'[9]Natural Gas'!E16+[9]Ontario!E16+[9]Finance!E16+[9]Executive!E16+[9]Alberta!E16)*1.2</f>
        <v>0</v>
      </c>
      <c r="G16" s="58" t="n">
        <f aca="false">(E16/$E$29)*$G$29</f>
        <v>0</v>
      </c>
      <c r="H16" s="0" t="s">
        <v>177</v>
      </c>
      <c r="I16" s="43" t="n">
        <v>33600</v>
      </c>
      <c r="J16" s="0" t="n">
        <v>0</v>
      </c>
      <c r="K16" s="0" t="n">
        <f aca="false">I16*J16</f>
        <v>0</v>
      </c>
      <c r="O16" s="58" t="n">
        <f aca="false">+G16/$G$29*$O$29</f>
        <v>0</v>
      </c>
      <c r="AK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+'[9]Natural Gas'!C17+[9]Ontario!C17+[9]Finance!C17+[9]Executive!C17+[9]Alberta!C17</f>
        <v>1883.62</v>
      </c>
      <c r="E17" s="62" t="n">
        <f aca="false">(+'[9]Natural Gas'!E17+[9]Ontario!E17+[9]Finance!E17+[9]Executive!E17+[9]Alberta!E17)*1.2</f>
        <v>3013.792</v>
      </c>
      <c r="G17" s="58" t="n">
        <f aca="false">(E17/$E$29)*$G$29</f>
        <v>542.48256</v>
      </c>
      <c r="H17" s="0" t="s">
        <v>115</v>
      </c>
      <c r="I17" s="43" t="n">
        <v>52800</v>
      </c>
      <c r="J17" s="0" t="n">
        <v>0</v>
      </c>
      <c r="K17" s="0" t="n">
        <f aca="false">I17*J17</f>
        <v>0</v>
      </c>
      <c r="O17" s="58" t="n">
        <f aca="false">+G17/$G$29*$O$29</f>
        <v>60.27584</v>
      </c>
      <c r="AK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+'[9]Natural Gas'!C18+[9]Ontario!C18+[9]Finance!C18+[9]Executive!C18+[9]Alberta!C18</f>
        <v>19208.42</v>
      </c>
      <c r="E18" s="62" t="n">
        <f aca="false">(+'[9]Natural Gas'!E18+[9]Ontario!E18+[9]Finance!E18+[9]Executive!E18+[9]Alberta!E18)*1.2</f>
        <v>30733.472</v>
      </c>
      <c r="G18" s="58" t="n">
        <f aca="false">(E18/$E$29)*$G$29</f>
        <v>5532.02496</v>
      </c>
      <c r="H18" s="0" t="s">
        <v>118</v>
      </c>
      <c r="I18" s="43" t="n">
        <v>54000</v>
      </c>
      <c r="J18" s="0" t="n">
        <v>0</v>
      </c>
      <c r="K18" s="0" t="n">
        <f aca="false">I18*J18</f>
        <v>0</v>
      </c>
      <c r="O18" s="58" t="n">
        <f aca="false">+G18/$G$29*$O$29</f>
        <v>614.66944</v>
      </c>
      <c r="AK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+'[9]Natural Gas'!C19+[9]Ontario!C19+[9]Finance!C19+[9]Executive!C19+[9]Alberta!C19</f>
        <v>52344.84</v>
      </c>
      <c r="E19" s="62" t="n">
        <f aca="false">(+'[9]Natural Gas'!E19+[9]Ontario!E19+[9]Finance!E19+[9]Executive!E19+[9]Alberta!E19)*1.2</f>
        <v>83751.744</v>
      </c>
      <c r="G19" s="58" t="n">
        <f aca="false">(E19/$E$29)*$G$29</f>
        <v>15075.31392</v>
      </c>
      <c r="H19" s="0" t="s">
        <v>121</v>
      </c>
      <c r="I19" s="43" t="n">
        <v>63000</v>
      </c>
      <c r="J19" s="0" t="n">
        <v>0</v>
      </c>
      <c r="K19" s="0" t="n">
        <f aca="false">I19*J19</f>
        <v>0</v>
      </c>
      <c r="O19" s="58" t="n">
        <f aca="false">+G19/$G$29*$O$29</f>
        <v>1675.03488</v>
      </c>
      <c r="AK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+'[9]Natural Gas'!C20+[9]Ontario!C20+[9]Finance!C20+[9]Executive!C20+[9]Alberta!C20</f>
        <v>0</v>
      </c>
      <c r="E20" s="62" t="n">
        <f aca="false">(+'[9]Natural Gas'!E20+[9]Ontario!E20+[9]Finance!E20+[9]Executive!E20+[9]Alberta!E20)*1.2</f>
        <v>0</v>
      </c>
      <c r="G20" s="58" t="n">
        <f aca="false">(E20/$E$29)*$G$29</f>
        <v>0</v>
      </c>
      <c r="H20" s="0" t="s">
        <v>124</v>
      </c>
      <c r="I20" s="43" t="n">
        <v>78000</v>
      </c>
      <c r="J20" s="0" t="n">
        <v>0</v>
      </c>
      <c r="K20" s="0" t="n">
        <f aca="false">I20*J20</f>
        <v>0</v>
      </c>
      <c r="O20" s="58" t="n">
        <f aca="false">+G20/$G$29*$O$29</f>
        <v>0</v>
      </c>
      <c r="AK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+'[9]Natural Gas'!C21+[9]Ontario!C21+[9]Finance!C21+[9]Executive!C21+[9]Alberta!C21</f>
        <v>19769.17</v>
      </c>
      <c r="E21" s="62" t="n">
        <f aca="false">(+'[9]Natural Gas'!E21+[9]Ontario!E21+[9]Finance!E21+[9]Executive!E21+[9]Alberta!E21)*1.2</f>
        <v>31630.6720000001</v>
      </c>
      <c r="G21" s="58" t="n">
        <f aca="false">(E21/$E$29)*$G$29</f>
        <v>5693.52096000001</v>
      </c>
      <c r="H21" s="0" t="s">
        <v>127</v>
      </c>
      <c r="I21" s="43" t="n">
        <v>66000</v>
      </c>
      <c r="J21" s="0" t="n">
        <v>0</v>
      </c>
      <c r="K21" s="0" t="n">
        <f aca="false">I21*J21</f>
        <v>0</v>
      </c>
      <c r="O21" s="58" t="n">
        <f aca="false">+G21/$G$29*$O$29</f>
        <v>632.613440000001</v>
      </c>
      <c r="AK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+'[9]Natural Gas'!C22+[9]Ontario!C22+[9]Finance!C22+[9]Executive!C22+[9]Alberta!C22</f>
        <v>6106.70000000001</v>
      </c>
      <c r="E22" s="62" t="n">
        <f aca="false">(+'[9]Natural Gas'!E22+[9]Ontario!E22+[9]Finance!E22+[9]Executive!E22+[9]Alberta!E22)*1.2</f>
        <v>9770.72000000001</v>
      </c>
      <c r="G22" s="58" t="n">
        <f aca="false">(E22/$E$29)*$G$29</f>
        <v>1758.7296</v>
      </c>
      <c r="H22" s="0" t="s">
        <v>130</v>
      </c>
      <c r="I22" s="43" t="n">
        <v>97200</v>
      </c>
      <c r="J22" s="0" t="n">
        <v>0</v>
      </c>
      <c r="K22" s="0" t="n">
        <f aca="false">I22*J22</f>
        <v>0</v>
      </c>
      <c r="O22" s="58" t="n">
        <f aca="false">+G22/$G$29*$O$29</f>
        <v>195.4144</v>
      </c>
      <c r="AK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4145276.52</v>
      </c>
      <c r="E23" s="68" t="n">
        <f aca="false">SUM(E8:E22)</f>
        <v>5787481.25866667</v>
      </c>
      <c r="G23" s="68" t="n">
        <f aca="false">SUM(G8:G22)</f>
        <v>1862457.06256</v>
      </c>
      <c r="H23" s="0" t="s">
        <v>133</v>
      </c>
      <c r="I23" s="43" t="n">
        <v>120000</v>
      </c>
      <c r="J23" s="0" t="n">
        <v>5</v>
      </c>
      <c r="K23" s="0" t="n">
        <f aca="false">I23*J23</f>
        <v>600000</v>
      </c>
      <c r="O23" s="68" t="n">
        <f aca="false">SUM(O8:O22)</f>
        <v>206939.673617778</v>
      </c>
      <c r="AK23" s="70"/>
    </row>
    <row r="24" customFormat="false" ht="12.75" hidden="false" customHeight="false" outlineLevel="0" collapsed="false">
      <c r="H24" s="0" t="s">
        <v>134</v>
      </c>
      <c r="I24" s="43" t="n">
        <v>156000</v>
      </c>
      <c r="J24" s="0" t="n">
        <v>2</v>
      </c>
      <c r="K24" s="0" t="n">
        <f aca="false">I24*J24</f>
        <v>312000</v>
      </c>
      <c r="AK24" s="21"/>
    </row>
    <row r="25" customFormat="false" ht="12.75" hidden="false" customHeight="false" outlineLevel="0" collapsed="false">
      <c r="B25" s="67" t="s">
        <v>9</v>
      </c>
      <c r="C25" s="3"/>
      <c r="E25" s="95" t="n">
        <f aca="false">+'[9]Natural Gas'!E25+[9]Ontario!E25+[9]Finance!E25+[9]Executive!E25+[9]Alberta!E25</f>
        <v>30</v>
      </c>
      <c r="G25" s="95" t="n">
        <f aca="false">SUM(J16:J20,J23:J27)</f>
        <v>9</v>
      </c>
      <c r="H25" s="0" t="s">
        <v>135</v>
      </c>
      <c r="I25" s="43" t="n">
        <v>180000</v>
      </c>
      <c r="J25" s="0" t="n">
        <v>0</v>
      </c>
      <c r="K25" s="0" t="n">
        <f aca="false">I25*J25</f>
        <v>0</v>
      </c>
      <c r="O25" s="71" t="n">
        <f aca="false">SUM(U16:U20,U23:U27)</f>
        <v>0</v>
      </c>
      <c r="AK25" s="58"/>
    </row>
    <row r="26" customFormat="false" ht="12.75" hidden="false" customHeight="false" outlineLevel="0" collapsed="false">
      <c r="C26" s="58"/>
      <c r="E26" s="57"/>
      <c r="G26" s="57"/>
      <c r="H26" s="0" t="s">
        <v>136</v>
      </c>
      <c r="I26" s="43" t="n">
        <v>216000</v>
      </c>
      <c r="J26" s="0" t="n">
        <v>2</v>
      </c>
      <c r="K26" s="0" t="n">
        <f aca="false">I26*J26</f>
        <v>432000</v>
      </c>
      <c r="O26" s="58"/>
      <c r="AK26" s="58"/>
    </row>
    <row r="27" customFormat="false" ht="12.75" hidden="false" customHeight="false" outlineLevel="0" collapsed="false">
      <c r="B27" s="67" t="s">
        <v>178</v>
      </c>
      <c r="C27" s="58"/>
      <c r="E27" s="95" t="n">
        <f aca="false">+'[9]Natural Gas'!E27+[9]Ontario!E27+[9]Finance!E27+[9]Executive!E27+[9]Alberta!E27</f>
        <v>20</v>
      </c>
      <c r="G27" s="95" t="n">
        <f aca="false">SUM(J21:J22)</f>
        <v>0</v>
      </c>
      <c r="H27" s="0" t="s">
        <v>185</v>
      </c>
      <c r="I27" s="43" t="n">
        <v>240000</v>
      </c>
      <c r="J27" s="0" t="n">
        <v>0</v>
      </c>
      <c r="K27" s="0" t="n">
        <f aca="false">I27*J27</f>
        <v>0</v>
      </c>
      <c r="O27" s="71" t="n">
        <f aca="false">+U21+U22</f>
        <v>0</v>
      </c>
      <c r="AK27" s="58"/>
    </row>
    <row r="28" customFormat="false" ht="12.75" hidden="false" customHeight="false" outlineLevel="0" collapsed="false">
      <c r="J28" s="0" t="n">
        <f aca="false">SUM(J16:J27)</f>
        <v>9</v>
      </c>
      <c r="K28" s="0" t="n">
        <f aca="false">SUM(K16:K27)</f>
        <v>1344000</v>
      </c>
      <c r="AK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50</v>
      </c>
      <c r="F29" s="58"/>
      <c r="G29" s="71" t="n">
        <f aca="false">+G27+G25</f>
        <v>9</v>
      </c>
      <c r="H29" s="60"/>
      <c r="O29" s="71" t="n">
        <v>1</v>
      </c>
      <c r="AK29" s="58"/>
    </row>
    <row r="30" customFormat="false" ht="12.75" hidden="true" customHeight="false" outlineLevel="0" collapsed="false"/>
    <row r="31" customFormat="false" ht="12.75" hidden="true" customHeight="false" outlineLevel="0" collapsed="false">
      <c r="A31" s="56" t="s">
        <v>186</v>
      </c>
      <c r="B31" s="57" t="s">
        <v>187</v>
      </c>
      <c r="C31" s="58"/>
      <c r="E31" s="58"/>
      <c r="G31" s="16" t="s">
        <v>140</v>
      </c>
      <c r="H31" s="43"/>
      <c r="J31" s="43"/>
    </row>
    <row r="32" customFormat="false" ht="12.75" hidden="true" customHeight="false" outlineLevel="0" collapsed="false">
      <c r="A32" s="56" t="s">
        <v>188</v>
      </c>
      <c r="B32" s="57"/>
      <c r="C32" s="58"/>
      <c r="E32" s="58"/>
      <c r="H32" s="43"/>
      <c r="J32" s="43"/>
    </row>
    <row r="33" customFormat="false" ht="12.75" hidden="true" customHeight="false" outlineLevel="0" collapsed="false">
      <c r="A33" s="56" t="s">
        <v>189</v>
      </c>
      <c r="B33" s="57"/>
      <c r="C33" s="58"/>
      <c r="E33" s="58"/>
      <c r="G33" s="73" t="s">
        <v>141</v>
      </c>
      <c r="H33" s="74" t="s">
        <v>142</v>
      </c>
      <c r="I33" s="74" t="s">
        <v>143</v>
      </c>
      <c r="J33" s="74" t="s">
        <v>86</v>
      </c>
      <c r="K33" s="74" t="s">
        <v>144</v>
      </c>
    </row>
    <row r="34" customFormat="false" ht="12.75" hidden="true" customHeight="false" outlineLevel="0" collapsed="false">
      <c r="A34" s="56" t="s">
        <v>190</v>
      </c>
      <c r="B34" s="57"/>
      <c r="C34" s="58"/>
      <c r="E34" s="58"/>
      <c r="G34" s="75" t="n">
        <f aca="false">SUM(E12:E22)</f>
        <v>1562675.392</v>
      </c>
      <c r="H34" s="74" t="n">
        <f aca="false">+E29</f>
        <v>50</v>
      </c>
      <c r="I34" s="74" t="n">
        <f aca="false">+G34/H34</f>
        <v>31253.50784</v>
      </c>
      <c r="J34" s="74" t="n">
        <f aca="false">+J11</f>
        <v>9</v>
      </c>
      <c r="K34" s="74" t="n">
        <f aca="false">+I34*J34</f>
        <v>281281.57056</v>
      </c>
    </row>
    <row r="35" customFormat="false" ht="12.75" hidden="true" customHeight="false" outlineLevel="0" collapsed="false">
      <c r="A35" s="56" t="s">
        <v>191</v>
      </c>
      <c r="B35" s="57"/>
      <c r="C35" s="58"/>
      <c r="E35" s="58"/>
    </row>
    <row r="36" customFormat="false" ht="12.75" hidden="true" customHeight="false" outlineLevel="0" collapsed="false">
      <c r="A36" s="56" t="s">
        <v>192</v>
      </c>
      <c r="B36" s="57"/>
      <c r="C36" s="58"/>
      <c r="E36" s="58"/>
    </row>
    <row r="37" customFormat="false" ht="12.75" hidden="true" customHeight="false" outlineLevel="0" collapsed="false">
      <c r="A37" s="56" t="s">
        <v>193</v>
      </c>
      <c r="B37" s="57"/>
      <c r="C37" s="58"/>
      <c r="E37" s="58"/>
    </row>
    <row r="38" customFormat="false" ht="12.75" hidden="true" customHeight="false" outlineLevel="0" collapsed="false">
      <c r="A38" s="56" t="s">
        <v>194</v>
      </c>
      <c r="B38" s="57"/>
      <c r="C38" s="58"/>
      <c r="E38" s="58"/>
    </row>
    <row r="39" customFormat="false" ht="12.75" hidden="true" customHeight="false" outlineLevel="0" collapsed="false">
      <c r="B39" s="57"/>
      <c r="C39" s="58"/>
      <c r="E39" s="58"/>
    </row>
    <row r="40" customFormat="false" ht="12.75" hidden="true" customHeight="false" outlineLevel="0" collapsed="false">
      <c r="B40" s="57"/>
      <c r="C40" s="58"/>
      <c r="E40" s="58"/>
    </row>
    <row r="41" customFormat="false" ht="12.75" hidden="true" customHeight="false" outlineLevel="0" collapsed="false">
      <c r="B41" s="57"/>
      <c r="C41" s="58"/>
      <c r="E41" s="58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96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43" width="10.41"/>
    <col collapsed="false" customWidth="true" hidden="true" outlineLevel="0" max="12" min="12" style="43" width="10.85"/>
    <col collapsed="false" customWidth="true" hidden="true" outlineLevel="0" max="13" min="13" style="43" width="11.42"/>
    <col collapsed="false" customWidth="false" hidden="true" outlineLevel="0" max="14" min="14" style="0" width="9.06"/>
    <col collapsed="false" customWidth="true" hidden="true" outlineLevel="0" max="15" min="15" style="0" width="9.14"/>
    <col collapsed="false" customWidth="false" hidden="true" outlineLevel="0" max="20" min="16" style="0" width="9.06"/>
  </cols>
  <sheetData>
    <row r="1" customFormat="false" ht="18" hidden="false" customHeight="false" outlineLevel="0" collapsed="false">
      <c r="B1" s="44" t="str">
        <f aca="false">'[10]Team Report'!B1</f>
        <v>Enron North America</v>
      </c>
      <c r="C1" s="44"/>
      <c r="D1" s="44"/>
      <c r="E1" s="44"/>
      <c r="F1" s="44"/>
      <c r="G1" s="46"/>
      <c r="H1" s="46"/>
      <c r="I1" s="46"/>
      <c r="J1" s="46"/>
      <c r="K1" s="45"/>
      <c r="L1" s="45"/>
      <c r="M1" s="45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customFormat="false" ht="18" hidden="false" customHeight="false" outlineLevel="0" collapsed="false">
      <c r="B2" s="44" t="str">
        <f aca="false">'[10]Pull Sheet'!E9</f>
        <v>Office of the Chair</v>
      </c>
      <c r="C2" s="44"/>
      <c r="D2" s="44"/>
      <c r="E2" s="44"/>
      <c r="F2" s="44"/>
      <c r="G2" s="46"/>
      <c r="H2" s="46"/>
      <c r="I2" s="46"/>
      <c r="J2" s="46"/>
      <c r="K2" s="45"/>
      <c r="L2" s="45"/>
      <c r="M2" s="45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customFormat="false" ht="18" hidden="false" customHeight="false" outlineLevel="0" collapsed="false">
      <c r="B3" s="44" t="s">
        <v>5</v>
      </c>
      <c r="C3" s="44"/>
      <c r="D3" s="44"/>
      <c r="E3" s="44"/>
      <c r="F3" s="44"/>
      <c r="G3" s="48"/>
      <c r="H3" s="48"/>
      <c r="I3" s="48"/>
      <c r="J3" s="48"/>
      <c r="K3" s="45"/>
      <c r="L3" s="45"/>
      <c r="M3" s="45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customFormat="false" ht="13.5" hidden="false" customHeight="false" outlineLevel="0" collapsed="false">
      <c r="J4" s="97"/>
      <c r="K4" s="97"/>
      <c r="L4" s="97"/>
      <c r="M4" s="97"/>
    </row>
    <row r="5" customFormat="false" ht="12.75" hidden="false" customHeight="false" outlineLevel="0" collapsed="false">
      <c r="J5" s="79"/>
      <c r="K5" s="50"/>
      <c r="L5" s="50"/>
      <c r="M5" s="51"/>
    </row>
    <row r="6" customFormat="false" ht="12.75" hidden="false" customHeight="false" outlineLevel="0" collapsed="false">
      <c r="C6" s="54" t="n">
        <v>37135</v>
      </c>
      <c r="E6" s="94" t="n">
        <v>2001</v>
      </c>
      <c r="F6" s="94" t="n">
        <v>2002</v>
      </c>
      <c r="J6" s="82"/>
      <c r="K6" s="74" t="s">
        <v>85</v>
      </c>
      <c r="L6" s="74" t="s">
        <v>86</v>
      </c>
      <c r="M6" s="98" t="s">
        <v>196</v>
      </c>
      <c r="O6" s="54" t="s">
        <v>90</v>
      </c>
    </row>
    <row r="7" customFormat="false" ht="12.75" hidden="false" customHeight="false" outlineLevel="0" collapsed="false">
      <c r="C7" s="55" t="s">
        <v>91</v>
      </c>
      <c r="E7" s="55" t="s">
        <v>197</v>
      </c>
      <c r="F7" s="55" t="s">
        <v>94</v>
      </c>
      <c r="J7" s="82"/>
      <c r="M7" s="5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99" t="n">
        <f aca="false">'[10]Team Report'!BA25</f>
        <v>888807.72</v>
      </c>
      <c r="E8" s="58" t="n">
        <f aca="false">(C8/9)*12</f>
        <v>1185076.96</v>
      </c>
      <c r="F8" s="58" t="n">
        <f aca="false">+M21</f>
        <v>1098000</v>
      </c>
      <c r="J8" s="82"/>
      <c r="M8" s="53"/>
      <c r="O8" s="58" t="n">
        <f aca="false">+F8/$F$29*$O$29</f>
        <v>183000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(C9/9)*12</f>
        <v>0</v>
      </c>
      <c r="F9" s="58"/>
      <c r="J9" s="82" t="s">
        <v>96</v>
      </c>
      <c r="K9" s="43" t="n">
        <v>0</v>
      </c>
      <c r="L9" s="43" t="n">
        <f aca="false">+L21</f>
        <v>6</v>
      </c>
      <c r="M9" s="53" t="n">
        <f aca="false">M21</f>
        <v>1098000</v>
      </c>
      <c r="O9" s="58" t="n">
        <f aca="false">+F9/$F$29*$O$29</f>
        <v>0</v>
      </c>
    </row>
    <row r="10" customFormat="false" ht="12.75" hidden="false" customHeight="false" outlineLevel="0" collapsed="false">
      <c r="A10" s="56"/>
      <c r="B10" s="57" t="s">
        <v>198</v>
      </c>
      <c r="C10" s="58" t="n">
        <v>0</v>
      </c>
      <c r="E10" s="58" t="n">
        <f aca="false">(C10/9)*12</f>
        <v>0</v>
      </c>
      <c r="F10" s="58" t="n">
        <v>0</v>
      </c>
      <c r="J10" s="82"/>
      <c r="M10" s="53"/>
      <c r="O10" s="58" t="n">
        <f aca="false">+F10/$F$29*$O$29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'[10]Team Report'!BA26</f>
        <v>249788.37</v>
      </c>
      <c r="E11" s="58" t="n">
        <f aca="false">(C11/9)*12</f>
        <v>333051.16</v>
      </c>
      <c r="F11" s="58" t="n">
        <f aca="false">+F8*0.2</f>
        <v>219600</v>
      </c>
      <c r="J11" s="82"/>
      <c r="M11" s="53"/>
      <c r="O11" s="58" t="n">
        <f aca="false">+F11/$F$29*$O$29</f>
        <v>36600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'[10]Team Report'!BA27</f>
        <v>180082.13</v>
      </c>
      <c r="E12" s="58" t="n">
        <f aca="false">(C12/9)*12</f>
        <v>240109.506666667</v>
      </c>
      <c r="F12" s="58" t="n">
        <f aca="false">+E12/$E$29*$F$29</f>
        <v>288131.408</v>
      </c>
      <c r="J12" s="82" t="s">
        <v>67</v>
      </c>
      <c r="K12" s="43" t="n">
        <f aca="false">(E12+E13+E14+E15+E16+E17+E18+E19+E20+E21+E22)/E29</f>
        <v>123221.090666665</v>
      </c>
      <c r="L12" s="43" t="n">
        <f aca="false">+L21</f>
        <v>6</v>
      </c>
      <c r="M12" s="53" t="n">
        <f aca="false">K12*L12</f>
        <v>739326.543999988</v>
      </c>
      <c r="O12" s="58" t="n">
        <f aca="false">+F12/$F$29*$O$29</f>
        <v>48021.9013333333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'[10]Team Report'!BA28</f>
        <v>201416.5</v>
      </c>
      <c r="E13" s="58" t="n">
        <f aca="false">(C13/9)*12</f>
        <v>268555.333333333</v>
      </c>
      <c r="F13" s="58" t="n">
        <f aca="false">+E13/$E$29*$F$29</f>
        <v>322266.4</v>
      </c>
      <c r="J13" s="82"/>
      <c r="M13" s="53"/>
      <c r="O13" s="58" t="n">
        <f aca="false">+F13/$F$29*$O$29</f>
        <v>53711.0666666667</v>
      </c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v>0</v>
      </c>
      <c r="E14" s="58" t="n">
        <f aca="false">(C14/9)*12</f>
        <v>0</v>
      </c>
      <c r="F14" s="58" t="n">
        <f aca="false">+E14/$E$29*$F$29</f>
        <v>0</v>
      </c>
      <c r="J14" s="87" t="s">
        <v>105</v>
      </c>
      <c r="K14" s="64"/>
      <c r="L14" s="64"/>
      <c r="M14" s="65" t="n">
        <f aca="false">SUM(M9:M12)</f>
        <v>1837326.54399999</v>
      </c>
      <c r="O14" s="58" t="n">
        <f aca="false">+F14/$F$29*$O$29</f>
        <v>0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'[10]Team Report'!BA33</f>
        <v>10998.16</v>
      </c>
      <c r="E15" s="58" t="n">
        <f aca="false">(C15/9)*12</f>
        <v>14664.2133333333</v>
      </c>
      <c r="F15" s="58" t="n">
        <f aca="false">+E15/$E$29*$F$29</f>
        <v>17597.056</v>
      </c>
      <c r="J15" s="21"/>
      <c r="O15" s="58" t="n">
        <f aca="false">+F15/$F$29*$O$29</f>
        <v>2932.84266666667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'[10]Team Report'!BA34</f>
        <v>0</v>
      </c>
      <c r="E16" s="58" t="n">
        <f aca="false">(C16/9)*12</f>
        <v>0</v>
      </c>
      <c r="F16" s="58" t="n">
        <f aca="false">+E16/$E$29*$F$29</f>
        <v>0</v>
      </c>
      <c r="J16" s="21"/>
      <c r="L16" s="100"/>
      <c r="O16" s="58" t="n">
        <f aca="false">+F16/$F$29*$O$29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'[10]Team Report'!BA35</f>
        <v>25000</v>
      </c>
      <c r="E17" s="58" t="n">
        <f aca="false">(C17/9)*12</f>
        <v>33333.3333333333</v>
      </c>
      <c r="F17" s="58" t="n">
        <f aca="false">+E17/$E$29*$F$29</f>
        <v>40000</v>
      </c>
      <c r="O17" s="58" t="n">
        <f aca="false">+F17/$F$29*$O$29</f>
        <v>6666.66666666667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'[10]Team Report'!BA36</f>
        <v>2602.32</v>
      </c>
      <c r="E18" s="58" t="n">
        <f aca="false">(C18/9)*12</f>
        <v>3469.76</v>
      </c>
      <c r="F18" s="58" t="n">
        <f aca="false">+E18/$E$29*$F$29</f>
        <v>4163.712</v>
      </c>
      <c r="J18" s="0" t="s">
        <v>115</v>
      </c>
      <c r="K18" s="43" t="n">
        <v>55000</v>
      </c>
      <c r="L18" s="43" t="n">
        <v>3</v>
      </c>
      <c r="M18" s="43" t="n">
        <f aca="false">K18*L18</f>
        <v>165000</v>
      </c>
      <c r="O18" s="58" t="n">
        <f aca="false">+F18/$F$29*$O$29</f>
        <v>693.952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'[10]Team Report'!BA37</f>
        <v>40643.17</v>
      </c>
      <c r="E19" s="58" t="n">
        <f aca="false">(C19/9)*12</f>
        <v>54190.8933333333</v>
      </c>
      <c r="F19" s="58" t="n">
        <f aca="false">+E19/$E$29*$F$29</f>
        <v>65029.072</v>
      </c>
      <c r="J19" s="0" t="s">
        <v>199</v>
      </c>
      <c r="K19" s="43" t="n">
        <v>250000</v>
      </c>
      <c r="L19" s="43" t="n">
        <v>1</v>
      </c>
      <c r="M19" s="43" t="n">
        <f aca="false">K19*L19</f>
        <v>250000</v>
      </c>
      <c r="O19" s="58" t="n">
        <f aca="false">+F19/$F$29*$O$29</f>
        <v>10838.1786666667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'[10]Team Report'!BA38</f>
        <v>1258.2</v>
      </c>
      <c r="E20" s="58" t="n">
        <f aca="false">(C20/9)*12</f>
        <v>1677.6</v>
      </c>
      <c r="F20" s="58" t="n">
        <f aca="false">+E20/$E$29*$F$29</f>
        <v>2013.12</v>
      </c>
      <c r="J20" s="0" t="s">
        <v>185</v>
      </c>
      <c r="K20" s="43" t="n">
        <v>250000</v>
      </c>
      <c r="L20" s="43" t="n">
        <v>2</v>
      </c>
      <c r="M20" s="43" t="n">
        <f aca="false">K20*L20</f>
        <v>500000</v>
      </c>
      <c r="O20" s="58" t="n">
        <f aca="false">+F20/$F$29*$O$29</f>
        <v>335.52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'[10]Team Report'!BA42-C40</f>
        <v>-0.180000007152557</v>
      </c>
      <c r="E21" s="58" t="n">
        <f aca="false">(C21/9)*12</f>
        <v>-0.240000009536743</v>
      </c>
      <c r="F21" s="58" t="n">
        <f aca="false">+E21/$E$29*$F$29</f>
        <v>-0.288000011444092</v>
      </c>
      <c r="L21" s="43" t="n">
        <f aca="false">SUM(L18:L20)</f>
        <v>6</v>
      </c>
      <c r="M21" s="43" t="n">
        <f aca="false">SUM(M18:M20)*1.2</f>
        <v>1098000</v>
      </c>
      <c r="O21" s="58" t="n">
        <f aca="false">+F21/$F$29*$O$29</f>
        <v>-0.0480000019073486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'[10]Team Report'!BA44</f>
        <v>78.79</v>
      </c>
      <c r="E22" s="58" t="n">
        <f aca="false">(C22/9)*12</f>
        <v>105.053333333333</v>
      </c>
      <c r="F22" s="58" t="n">
        <f aca="false">+E22/$E$29*$F$29</f>
        <v>126.064</v>
      </c>
      <c r="L22" s="72"/>
      <c r="M22" s="72"/>
      <c r="O22" s="58" t="n">
        <f aca="false">+F22/$F$29*$O$29</f>
        <v>21.0106666666667</v>
      </c>
    </row>
    <row r="23" customFormat="false" ht="13.5" hidden="false" customHeight="false" outlineLevel="0" collapsed="false">
      <c r="A23" s="66" t="s">
        <v>131</v>
      </c>
      <c r="B23" s="67" t="s">
        <v>132</v>
      </c>
      <c r="C23" s="68" t="n">
        <f aca="false">SUM(C8:C22)</f>
        <v>1600675.17999999</v>
      </c>
      <c r="E23" s="68" t="n">
        <f aca="false">SUM(E8:E22)</f>
        <v>2134233.57333332</v>
      </c>
      <c r="F23" s="68" t="n">
        <f aca="false">SUM(F8:F22)</f>
        <v>2056926.54399999</v>
      </c>
      <c r="O23" s="90" t="n">
        <f aca="false">SUM(O8:O22)</f>
        <v>342821.090666665</v>
      </c>
    </row>
    <row r="25" customFormat="false" ht="12.75" hidden="false" customHeight="false" outlineLevel="0" collapsed="false">
      <c r="B25" s="67" t="s">
        <v>9</v>
      </c>
      <c r="C25" s="101"/>
      <c r="E25" s="101" t="n">
        <v>5</v>
      </c>
      <c r="F25" s="102" t="n">
        <v>6</v>
      </c>
      <c r="I25" s="16" t="s">
        <v>140</v>
      </c>
      <c r="J25" s="43"/>
      <c r="M25" s="0"/>
      <c r="O25" s="71" t="n">
        <f aca="false">SUM(U16:U20,U23:U27)</f>
        <v>0</v>
      </c>
    </row>
    <row r="26" customFormat="false" ht="12.75" hidden="false" customHeight="false" outlineLevel="0" collapsed="false">
      <c r="J26" s="43"/>
      <c r="M26" s="0"/>
      <c r="O26" s="58"/>
    </row>
    <row r="27" customFormat="false" ht="12.75" hidden="false" customHeight="false" outlineLevel="0" collapsed="false">
      <c r="B27" s="67" t="s">
        <v>137</v>
      </c>
      <c r="C27" s="101"/>
      <c r="E27" s="101"/>
      <c r="F27" s="101"/>
      <c r="I27" s="73" t="s">
        <v>141</v>
      </c>
      <c r="J27" s="74" t="s">
        <v>142</v>
      </c>
      <c r="K27" s="74" t="s">
        <v>143</v>
      </c>
      <c r="L27" s="74" t="s">
        <v>86</v>
      </c>
      <c r="M27" s="74" t="s">
        <v>144</v>
      </c>
      <c r="O27" s="71" t="n">
        <f aca="false">SUM(U21:U22)</f>
        <v>0</v>
      </c>
    </row>
    <row r="28" customFormat="false" ht="12.75" hidden="false" customHeight="false" outlineLevel="0" collapsed="false">
      <c r="I28" s="75" t="n">
        <f aca="false">SUM(E12:E22)</f>
        <v>616105.453333324</v>
      </c>
      <c r="J28" s="103" t="n">
        <f aca="false">+E29</f>
        <v>5</v>
      </c>
      <c r="K28" s="74" t="n">
        <f aca="false">+I28/J28</f>
        <v>123221.090666665</v>
      </c>
      <c r="L28" s="74" t="n">
        <f aca="false">+L12</f>
        <v>6</v>
      </c>
      <c r="M28" s="74" t="n">
        <f aca="false">+K28*L28</f>
        <v>739326.543999989</v>
      </c>
    </row>
    <row r="29" customFormat="false" ht="12.75" hidden="false" customHeight="false" outlineLevel="0" collapsed="false">
      <c r="B29" s="67" t="s">
        <v>139</v>
      </c>
      <c r="C29" s="101"/>
      <c r="E29" s="101" t="n">
        <f aca="false">SUM(E25:E28)</f>
        <v>5</v>
      </c>
      <c r="F29" s="101" t="n">
        <f aca="false">SUM(F25:F28)</f>
        <v>6</v>
      </c>
      <c r="K29" s="0"/>
      <c r="M29" s="0"/>
      <c r="O29" s="71" t="n">
        <v>1</v>
      </c>
    </row>
    <row r="30" customFormat="false" ht="12.75" hidden="false" customHeight="false" outlineLevel="0" collapsed="false">
      <c r="B30" s="67"/>
      <c r="K30" s="0"/>
      <c r="M30" s="0"/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'[10]Team Report'!BA29</f>
        <v>143473.75</v>
      </c>
      <c r="E31" s="58" t="n">
        <f aca="false">(C31/9)*12</f>
        <v>191298.333333333</v>
      </c>
      <c r="F31" s="58"/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'[10]Team Report'!BA30</f>
        <v>0</v>
      </c>
      <c r="E32" s="58" t="n">
        <f aca="false">(C32/9)*12</f>
        <v>0</v>
      </c>
      <c r="F32" s="58"/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'[10]Team Report'!BA31</f>
        <v>0</v>
      </c>
      <c r="E33" s="58" t="n">
        <f aca="false">(C33/9)*12</f>
        <v>0</v>
      </c>
      <c r="F33" s="58"/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'[10]Team Report'!BA39</f>
        <v>0</v>
      </c>
      <c r="E34" s="58" t="n">
        <f aca="false">(C34/9)*12</f>
        <v>0</v>
      </c>
      <c r="F34" s="58"/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'[10]Team Report'!BA40</f>
        <v>47150.06</v>
      </c>
      <c r="E35" s="58" t="n">
        <f aca="false">(C35/9)*12</f>
        <v>62866.7466666667</v>
      </c>
      <c r="F35" s="58"/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'[10]Team Report'!BA41</f>
        <v>150417.01</v>
      </c>
      <c r="E36" s="58" t="n">
        <f aca="false">(C36/9)*12</f>
        <v>200556.013333333</v>
      </c>
      <c r="F36" s="58"/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'[10]Team Report'!BA43</f>
        <v>7417.54</v>
      </c>
      <c r="E37" s="58" t="n">
        <f aca="false">(C37/9)*12</f>
        <v>9890.05333333333</v>
      </c>
      <c r="F37" s="58"/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'[10]Team Report'!BA45</f>
        <v>11194108.38</v>
      </c>
      <c r="E38" s="58" t="n">
        <f aca="false">(C38/9)*12</f>
        <v>14925477.84</v>
      </c>
      <c r="F38" s="58"/>
    </row>
    <row r="39" customFormat="false" ht="12.75" hidden="true" customHeight="false" outlineLevel="0" collapsed="false">
      <c r="A39" s="56" t="s">
        <v>106</v>
      </c>
      <c r="B39" s="57" t="s">
        <v>107</v>
      </c>
      <c r="C39" s="58" t="n">
        <v>24143776.43</v>
      </c>
      <c r="E39" s="58" t="n">
        <v>32191701.9066667</v>
      </c>
      <c r="F39" s="58"/>
    </row>
    <row r="40" customFormat="false" ht="12.75" hidden="true" customHeight="false" outlineLevel="0" collapsed="false">
      <c r="B40" s="57" t="s">
        <v>126</v>
      </c>
      <c r="C40" s="58" t="n">
        <v>243106037</v>
      </c>
      <c r="E40" s="58"/>
      <c r="F40" s="58"/>
      <c r="N40" s="43"/>
    </row>
    <row r="44" customFormat="false" ht="12.75" hidden="false" customHeight="false" outlineLevel="0" collapsed="false">
      <c r="C44" s="96" t="n">
        <f aca="false">C23+C31+C32+C33+C34+C35+C36+C37+C38</f>
        <v>13143241.92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6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7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false" outlineLevel="0" max="13" min="13" style="0" width="9.85"/>
    <col collapsed="false" customWidth="true" hidden="false" outlineLevel="0" max="14" min="14" style="0" width="16.84"/>
    <col collapsed="false" customWidth="true" hidden="false" outlineLevel="0" max="15" min="15" style="0" width="17.7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84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Q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Q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v>642840</v>
      </c>
      <c r="I8" s="52" t="s">
        <v>96</v>
      </c>
      <c r="J8" s="43" t="n">
        <v>0</v>
      </c>
      <c r="L8" s="53" t="n">
        <f aca="false">L30</f>
        <v>985248</v>
      </c>
      <c r="M8" s="60"/>
      <c r="Q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8" t="n">
        <v>0</v>
      </c>
      <c r="G9" s="59" t="n">
        <f aca="false">E9/$E$23</f>
        <v>0</v>
      </c>
      <c r="H9" s="58"/>
      <c r="I9" s="52"/>
      <c r="L9" s="53"/>
      <c r="Q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8"/>
      <c r="E10" s="58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9" t="n">
        <f aca="false">E10/$E$23</f>
        <v>0.00377976191391553</v>
      </c>
      <c r="H10" s="58" t="n">
        <v>0</v>
      </c>
      <c r="I10" s="52"/>
      <c r="L10" s="53"/>
      <c r="M10" s="60"/>
      <c r="N10" s="61"/>
      <c r="O10" s="61"/>
      <c r="P10" s="61"/>
      <c r="Q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+H8*0.2</f>
        <v>128568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5</v>
      </c>
      <c r="L11" s="53" t="n">
        <f aca="false">J11*K11</f>
        <v>241350.90625</v>
      </c>
      <c r="M11" s="60"/>
      <c r="N11" s="61"/>
      <c r="O11" s="61"/>
      <c r="P11" s="61"/>
      <c r="Q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v>15000</v>
      </c>
      <c r="I12" s="52"/>
      <c r="L12" s="53"/>
      <c r="M12" s="60"/>
      <c r="N12" s="61"/>
      <c r="O12" s="61"/>
      <c r="P12" s="61"/>
      <c r="Q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v>21000</v>
      </c>
      <c r="I13" s="63" t="s">
        <v>105</v>
      </c>
      <c r="J13" s="64"/>
      <c r="K13" s="64"/>
      <c r="L13" s="65" t="n">
        <f aca="false">L8+L11</f>
        <v>1226598.90625</v>
      </c>
      <c r="M13" s="60"/>
      <c r="N13" s="61"/>
      <c r="O13" s="61"/>
      <c r="P13" s="61"/>
      <c r="Q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v>3000</v>
      </c>
      <c r="M14" s="60"/>
      <c r="N14" s="61"/>
      <c r="O14" s="61"/>
      <c r="P14" s="61"/>
      <c r="Q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v>12000</v>
      </c>
      <c r="M15" s="60"/>
      <c r="Q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M16" s="60"/>
      <c r="Q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v>147.5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M17" s="60"/>
      <c r="Q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v>-0.12699999999968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M18" s="60"/>
      <c r="Q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v>2730.258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M19" s="60"/>
      <c r="Q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v>0.4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M20" s="60"/>
      <c r="Q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v>3600</v>
      </c>
      <c r="I21" s="43" t="s">
        <v>127</v>
      </c>
      <c r="J21" s="43" t="n">
        <v>60500</v>
      </c>
      <c r="K21" s="43" t="n">
        <v>0</v>
      </c>
      <c r="L21" s="43" t="n">
        <f aca="false">J21*K21</f>
        <v>0</v>
      </c>
      <c r="M21" s="60"/>
      <c r="P21" s="21"/>
      <c r="Q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2</v>
      </c>
      <c r="L22" s="43" t="n">
        <f aca="false">J22*K22</f>
        <v>178200</v>
      </c>
      <c r="M22" s="60"/>
      <c r="P22" s="21"/>
      <c r="Q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828886.031</v>
      </c>
      <c r="I23" s="43" t="s">
        <v>133</v>
      </c>
      <c r="J23" s="43" t="n">
        <v>110000</v>
      </c>
      <c r="K23" s="43" t="n">
        <v>1</v>
      </c>
      <c r="L23" s="43" t="n">
        <f aca="false">J23*K23</f>
        <v>110000</v>
      </c>
      <c r="M23" s="70"/>
      <c r="P23" s="21"/>
      <c r="Q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0</v>
      </c>
      <c r="L24" s="43" t="n">
        <f aca="false">J24*K24</f>
        <v>0</v>
      </c>
      <c r="P24" s="21"/>
      <c r="Q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1" t="n">
        <f aca="false">+K16+K17+K18+K19+K20+K23+K24+K25+K26+K27</f>
        <v>3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P25" s="21"/>
      <c r="Q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2</v>
      </c>
      <c r="L26" s="43" t="n">
        <f aca="false">J26*K26</f>
        <v>396000</v>
      </c>
      <c r="P26" s="21"/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1" t="n">
        <v>0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P27" s="21"/>
      <c r="Q27" s="58"/>
    </row>
    <row r="28" customFormat="false" ht="12.75" hidden="false" customHeight="false" outlineLevel="0" collapsed="false">
      <c r="K28" s="43" t="n">
        <f aca="false">SUM(K16:K27)</f>
        <v>5</v>
      </c>
      <c r="L28" s="43" t="n">
        <f aca="false">SUM(L16:L27)*1.2</f>
        <v>821040</v>
      </c>
      <c r="P28" s="21"/>
      <c r="Q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3</v>
      </c>
      <c r="L29" s="72" t="n">
        <v>0.2</v>
      </c>
      <c r="P29" s="21"/>
      <c r="Q29" s="58"/>
    </row>
    <row r="30" customFormat="false" ht="12.75" hidden="true" customHeight="false" outlineLevel="0" collapsed="false">
      <c r="L30" s="43" t="n">
        <f aca="false">L28*1.2</f>
        <v>985248</v>
      </c>
      <c r="P30" s="21"/>
      <c r="Q30" s="21"/>
    </row>
    <row r="31" customFormat="false" ht="12.75" hidden="true" customHeight="false" outlineLevel="0" collapsed="false">
      <c r="H31" s="16" t="s">
        <v>140</v>
      </c>
      <c r="L31" s="0"/>
      <c r="P31" s="21"/>
      <c r="Q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P32" s="21"/>
      <c r="Q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P33" s="21"/>
      <c r="Q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5</v>
      </c>
      <c r="L34" s="74" t="n">
        <f aca="false">+J34*K34</f>
        <v>241350.90625</v>
      </c>
      <c r="P34" s="21"/>
      <c r="Q34" s="21"/>
    </row>
    <row r="35" customFormat="false" ht="12.75" hidden="true" customHeight="false" outlineLevel="0" collapsed="false">
      <c r="P35" s="21"/>
      <c r="Q35" s="21"/>
    </row>
    <row r="36" customFormat="false" ht="12.75" hidden="true" customHeight="false" outlineLevel="0" collapsed="false">
      <c r="P36" s="21"/>
      <c r="Q36" s="21"/>
    </row>
    <row r="37" customFormat="false" ht="12.75" hidden="true" customHeight="false" outlineLevel="0" collapsed="false">
      <c r="P37" s="21"/>
      <c r="Q37" s="21"/>
    </row>
    <row r="38" customFormat="false" ht="12.75" hidden="true" customHeight="false" outlineLevel="0" collapsed="false">
      <c r="P38" s="21"/>
      <c r="Q38" s="21"/>
    </row>
    <row r="39" customFormat="false" ht="12.75" hidden="false" customHeight="false" outlineLevel="0" collapsed="false">
      <c r="P39" s="21"/>
      <c r="Q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50" min="49" style="0" width="9.06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customFormat="false" ht="18" hidden="false" customHeight="false" outlineLevel="0" collapsed="false">
      <c r="B2" s="44" t="s">
        <v>208</v>
      </c>
      <c r="C2" s="44"/>
      <c r="D2" s="44"/>
      <c r="E2" s="44"/>
      <c r="F2" s="44"/>
      <c r="G2" s="44"/>
      <c r="H2" s="44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customFormat="false" ht="12.75" hidden="false" customHeight="false" outlineLevel="0" collapsed="false">
      <c r="J4" s="79"/>
      <c r="K4" s="80"/>
      <c r="L4" s="80"/>
      <c r="M4" s="81"/>
    </row>
    <row r="5" customFormat="false" ht="12.75" hidden="false" customHeight="false" outlineLevel="0" collapsed="false">
      <c r="J5" s="82"/>
      <c r="K5" s="21" t="s">
        <v>85</v>
      </c>
      <c r="L5" s="21" t="s">
        <v>86</v>
      </c>
      <c r="M5" s="8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F6" s="54" t="s">
        <v>90</v>
      </c>
      <c r="H6" s="84" t="s">
        <v>89</v>
      </c>
      <c r="J6" s="82"/>
      <c r="K6" s="21"/>
      <c r="L6" s="21"/>
      <c r="M6" s="83"/>
      <c r="O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 t="s">
        <v>94</v>
      </c>
      <c r="H7" s="84" t="s">
        <v>93</v>
      </c>
      <c r="J7" s="82"/>
      <c r="K7" s="21"/>
      <c r="L7" s="21"/>
      <c r="M7" s="8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58" t="n">
        <f aca="false">(C8/9)*12</f>
        <v>8854366.4</v>
      </c>
      <c r="F8" s="58" t="n">
        <f aca="false">M16+M17+M18+M19+M20+M23+M24+M26</f>
        <v>0</v>
      </c>
      <c r="H8" s="85" t="n">
        <f aca="false">E8/$E$23</f>
        <v>0.43476545989392</v>
      </c>
      <c r="J8" s="82" t="s">
        <v>96</v>
      </c>
      <c r="K8" s="43" t="n">
        <v>0</v>
      </c>
      <c r="L8" s="21"/>
      <c r="M8" s="86" t="n">
        <f aca="false">M28*1.2</f>
        <v>1758240</v>
      </c>
      <c r="O8" s="58" t="n">
        <f aca="false">+F8/$F$29*$O$29</f>
        <v>0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58" t="n">
        <f aca="false">C9</f>
        <v>1460000</v>
      </c>
      <c r="F9" s="58"/>
      <c r="H9" s="85" t="n">
        <f aca="false">E9/$E$23</f>
        <v>0.0716886497316311</v>
      </c>
      <c r="J9" s="82"/>
      <c r="K9" s="21"/>
      <c r="L9" s="21"/>
      <c r="M9" s="83"/>
      <c r="O9" s="58" t="n">
        <f aca="false">+F9/$F$29*$O$29</f>
        <v>0</v>
      </c>
    </row>
    <row r="10" customFormat="false" ht="12.75" hidden="false" customHeight="false" outlineLevel="0" collapsed="false">
      <c r="A10" s="56"/>
      <c r="B10" s="57" t="s">
        <v>176</v>
      </c>
      <c r="C10" s="58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58" t="n">
        <f aca="false">(C10/9)*12</f>
        <v>3536680</v>
      </c>
      <c r="F10" s="58" t="n">
        <f aca="false">M21+M22</f>
        <v>1465200</v>
      </c>
      <c r="H10" s="85" t="n">
        <f aca="false">E10/$E$23</f>
        <v>0.173657406666346</v>
      </c>
      <c r="J10" s="82"/>
      <c r="K10" s="21"/>
      <c r="L10" s="21"/>
      <c r="M10" s="83"/>
      <c r="O10" s="58" t="n">
        <f aca="false">+F10/$F$29*$O$29</f>
        <v>86188.2352941177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58" t="n">
        <f aca="false">(C11/9)*12</f>
        <v>2048457.94666667</v>
      </c>
      <c r="F11" s="58" t="n">
        <f aca="false">M28*0.2</f>
        <v>293040</v>
      </c>
      <c r="H11" s="85" t="n">
        <f aca="false">E11/$E$23</f>
        <v>0.100583002896276</v>
      </c>
      <c r="J11" s="82" t="s">
        <v>67</v>
      </c>
      <c r="K11" s="43" t="n">
        <f aca="false">(E12+E13+E14+E15+E16+E17+E18+E19+E20+E21+E22)/E29</f>
        <v>31676.1819007092</v>
      </c>
      <c r="L11" s="21" t="n">
        <f aca="false">L28</f>
        <v>17</v>
      </c>
      <c r="M11" s="86" t="n">
        <f aca="false">K11*L11</f>
        <v>538495.092312057</v>
      </c>
      <c r="O11" s="58" t="n">
        <f aca="false">+F11/$F$29*$O$29</f>
        <v>17237.6470588235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2" t="n">
        <f aca="false">(C12/9)*12*1.2</f>
        <v>890331.52</v>
      </c>
      <c r="F12" s="58" t="n">
        <f aca="false">E12/$E$29*$L$11</f>
        <v>107344.935035461</v>
      </c>
      <c r="H12" s="85" t="n">
        <f aca="false">E12/$E$23</f>
        <v>0.0437168934810347</v>
      </c>
      <c r="J12" s="82"/>
      <c r="K12" s="21"/>
      <c r="L12" s="21"/>
      <c r="M12" s="83"/>
      <c r="O12" s="58" t="n">
        <f aca="false">+F12/$F$29*$O$29</f>
        <v>6314.40794326241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2" t="n">
        <f aca="false">(C13/9)*12*1.2</f>
        <v>1622984.656</v>
      </c>
      <c r="F13" s="58" t="n">
        <f aca="false">E13/$E$29*$L$11</f>
        <v>195679.001078014</v>
      </c>
      <c r="H13" s="85" t="n">
        <f aca="false">E13/$E$23</f>
        <v>0.0796914921395861</v>
      </c>
      <c r="J13" s="87" t="s">
        <v>105</v>
      </c>
      <c r="K13" s="88"/>
      <c r="L13" s="88"/>
      <c r="M13" s="89" t="n">
        <f aca="false">M8+M11</f>
        <v>2296735.09231206</v>
      </c>
      <c r="O13" s="58" t="n">
        <f aca="false">+F13/$F$29*$O$29</f>
        <v>11510.5294751773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2" t="n">
        <f aca="false">(C14/9)*12*1.2</f>
        <v>0.608000000193715</v>
      </c>
      <c r="F14" s="58" t="n">
        <f aca="false">E14/$E$29*$L$11</f>
        <v>0.0733049645623628</v>
      </c>
      <c r="H14" s="85" t="n">
        <f aca="false">E14/$E$23</f>
        <v>2.98539034593965E-008</v>
      </c>
      <c r="N14" s="60"/>
      <c r="O14" s="58" t="n">
        <f aca="false">+F14/$F$29*$O$29</f>
        <v>0.00431205673896252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2" t="n">
        <f aca="false">(C15/9)*12*1.2</f>
        <v>149163.408</v>
      </c>
      <c r="F15" s="58" t="n">
        <f aca="false">E15/$E$29*$L$11</f>
        <v>17984.2406808511</v>
      </c>
      <c r="H15" s="85" t="n">
        <f aca="false">E15/$E$23</f>
        <v>0.00732419404718382</v>
      </c>
      <c r="K15" s="43"/>
      <c r="O15" s="58" t="n">
        <f aca="false">+F15/$F$29*$O$29</f>
        <v>1057.8965106383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2" t="n">
        <f aca="false">(C16/9)*12*1.2</f>
        <v>0</v>
      </c>
      <c r="F16" s="58" t="n">
        <f aca="false">E16/$E$29*$L$11</f>
        <v>0</v>
      </c>
      <c r="H16" s="85" t="n">
        <f aca="false">E16/$E$23</f>
        <v>0</v>
      </c>
      <c r="J16" s="0" t="s">
        <v>177</v>
      </c>
      <c r="K16" s="43" t="n">
        <v>33600</v>
      </c>
      <c r="L16" s="0" t="n">
        <v>0</v>
      </c>
      <c r="M16" s="43" t="n">
        <f aca="false">K16*L16</f>
        <v>0</v>
      </c>
      <c r="O16" s="58" t="n">
        <f aca="false">+F16/$F$29*$O$29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2" t="n">
        <f aca="false">(C17/9)*12*1.2</f>
        <v>8480</v>
      </c>
      <c r="F17" s="58" t="n">
        <f aca="false">E17/$E$29*$L$11</f>
        <v>1022.41134751773</v>
      </c>
      <c r="H17" s="85" t="n">
        <f aca="false">E17/$E$23</f>
        <v>0.000416383390222076</v>
      </c>
      <c r="J17" s="0" t="s">
        <v>115</v>
      </c>
      <c r="K17" s="43" t="n">
        <v>52800</v>
      </c>
      <c r="L17" s="0" t="n">
        <v>0</v>
      </c>
      <c r="M17" s="43" t="n">
        <f aca="false">K17*L17</f>
        <v>0</v>
      </c>
      <c r="O17" s="58" t="n">
        <f aca="false">+F17/$F$29*$O$29</f>
        <v>60.1418439716312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2" t="n">
        <f aca="false">(C18/9)*12*1.2</f>
        <v>459.663999999995</v>
      </c>
      <c r="F18" s="58" t="n">
        <f aca="false">E18/$E$29*$L$11</f>
        <v>55.4204822695029</v>
      </c>
      <c r="H18" s="85" t="n">
        <f aca="false">E18/$E$23</f>
        <v>2.25703366371507E-005</v>
      </c>
      <c r="J18" s="0" t="s">
        <v>118</v>
      </c>
      <c r="K18" s="43" t="n">
        <v>54000</v>
      </c>
      <c r="L18" s="0" t="n">
        <v>0</v>
      </c>
      <c r="M18" s="43" t="n">
        <f aca="false">K18*L18</f>
        <v>0</v>
      </c>
      <c r="O18" s="58" t="n">
        <f aca="false">+F18/$F$29*$O$29</f>
        <v>3.26002836879429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2" t="n">
        <f aca="false">(C19/9)*12*1.2</f>
        <v>779438.72</v>
      </c>
      <c r="F19" s="58" t="n">
        <f aca="false">E19/$E$29*$L$11</f>
        <v>93974.8811347518</v>
      </c>
      <c r="H19" s="85" t="n">
        <f aca="false">E19/$E$23</f>
        <v>0.038271855743391</v>
      </c>
      <c r="J19" s="0" t="s">
        <v>121</v>
      </c>
      <c r="K19" s="43" t="n">
        <v>63000</v>
      </c>
      <c r="L19" s="0" t="n">
        <v>0</v>
      </c>
      <c r="M19" s="43" t="n">
        <f aca="false">K19*L19</f>
        <v>0</v>
      </c>
      <c r="O19" s="58" t="n">
        <f aca="false">+F19/$F$29*$O$29</f>
        <v>5527.93418439716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2" t="n">
        <f aca="false">(C20/9)*12*1.2</f>
        <v>125.088</v>
      </c>
      <c r="F20" s="58" t="n">
        <f aca="false">E20/$E$29*$L$11</f>
        <v>15.0815319148936</v>
      </c>
      <c r="H20" s="85" t="n">
        <f aca="false">E20/$E$23</f>
        <v>6.1420478202947E-006</v>
      </c>
      <c r="J20" s="0" t="s">
        <v>124</v>
      </c>
      <c r="K20" s="43" t="n">
        <v>78000</v>
      </c>
      <c r="L20" s="0" t="n">
        <v>0</v>
      </c>
      <c r="M20" s="43" t="n">
        <f aca="false">K20*L20</f>
        <v>0</v>
      </c>
      <c r="O20" s="58" t="n">
        <f aca="false">+F20/$F$29*$O$29</f>
        <v>0.887148936170213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2" t="n">
        <f aca="false">(C21/9)*12*1.2</f>
        <v>1013453.6</v>
      </c>
      <c r="F21" s="58" t="n">
        <f aca="false">E21/$E$29*$L$11</f>
        <v>122189.441134752</v>
      </c>
      <c r="H21" s="85" t="n">
        <f aca="false">E21/$E$23</f>
        <v>0.0497624110614113</v>
      </c>
      <c r="J21" s="0" t="s">
        <v>127</v>
      </c>
      <c r="K21" s="43" t="n">
        <v>66000</v>
      </c>
      <c r="L21" s="0" t="n">
        <f aca="false">6</f>
        <v>6</v>
      </c>
      <c r="M21" s="43" t="n">
        <f aca="false">K21*L21</f>
        <v>396000</v>
      </c>
      <c r="O21" s="58" t="n">
        <f aca="false">+F21/$F$29*$O$29</f>
        <v>7187.61418439716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2" t="n">
        <f aca="false">(C22/9)*12*1.2</f>
        <v>1904.384</v>
      </c>
      <c r="F22" s="58" t="n">
        <f aca="false">E22/$E$29*$L$11</f>
        <v>229.606581560284</v>
      </c>
      <c r="H22" s="85" t="n">
        <f aca="false">E22/$E$23</f>
        <v>9.35087106373442E-005</v>
      </c>
      <c r="J22" s="0" t="s">
        <v>130</v>
      </c>
      <c r="K22" s="43" t="n">
        <v>97200</v>
      </c>
      <c r="L22" s="0" t="n">
        <f aca="false">10+1</f>
        <v>11</v>
      </c>
      <c r="M22" s="43" t="n">
        <f aca="false">K22*L22</f>
        <v>1069200</v>
      </c>
      <c r="O22" s="58" t="n">
        <f aca="false">+F22/$F$29*$O$29</f>
        <v>13.5062695035461</v>
      </c>
    </row>
    <row r="23" customFormat="false" ht="13.5" hidden="false" customHeight="false" outlineLevel="0" collapsed="false">
      <c r="A23" s="66" t="s">
        <v>131</v>
      </c>
      <c r="B23" s="67" t="s">
        <v>132</v>
      </c>
      <c r="C23" s="68" t="n">
        <f aca="false">SUM(C8:C22)</f>
        <v>15081091.79</v>
      </c>
      <c r="E23" s="68" t="n">
        <f aca="false">SUM(E8:E22)</f>
        <v>20365845.9946667</v>
      </c>
      <c r="F23" s="90" t="n">
        <f aca="false">SUM(F8:F22)</f>
        <v>2296735.09231206</v>
      </c>
      <c r="H23" s="91" t="n">
        <f aca="false">SUM(H8:H22)</f>
        <v>1</v>
      </c>
      <c r="J23" s="0" t="s">
        <v>133</v>
      </c>
      <c r="K23" s="43" t="n">
        <v>120000</v>
      </c>
      <c r="L23" s="0" t="n">
        <v>0</v>
      </c>
      <c r="M23" s="43" t="n">
        <f aca="false">K23*L23</f>
        <v>0</v>
      </c>
      <c r="O23" s="90" t="n">
        <f aca="false">SUM(O8:O22)</f>
        <v>135102.06425365</v>
      </c>
    </row>
    <row r="24" customFormat="false" ht="12.75" hidden="false" customHeight="false" outlineLevel="0" collapsed="false">
      <c r="J24" s="0" t="s">
        <v>134</v>
      </c>
      <c r="K24" s="43" t="n">
        <v>156000</v>
      </c>
      <c r="L24" s="0" t="n">
        <v>0</v>
      </c>
      <c r="M24" s="43" t="n">
        <f aca="false">K24*L24</f>
        <v>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1" t="n">
        <f aca="false">SUM(L16:L20,L23:L27)</f>
        <v>0</v>
      </c>
      <c r="J25" s="0" t="s">
        <v>135</v>
      </c>
      <c r="K25" s="43" t="n">
        <v>180000</v>
      </c>
      <c r="L25" s="0" t="n">
        <v>0</v>
      </c>
      <c r="M25" s="43" t="n">
        <f aca="false">K25*L25</f>
        <v>0</v>
      </c>
      <c r="O25" s="71" t="n">
        <f aca="false">SUM(U16:U20,U23:U27)</f>
        <v>0</v>
      </c>
    </row>
    <row r="26" customFormat="false" ht="12.75" hidden="false" customHeight="false" outlineLevel="0" collapsed="false">
      <c r="C26" s="58"/>
      <c r="E26" s="58"/>
      <c r="F26" s="58"/>
      <c r="J26" s="0" t="s">
        <v>136</v>
      </c>
      <c r="K26" s="43" t="n">
        <v>216000</v>
      </c>
      <c r="L26" s="0" t="n">
        <v>0</v>
      </c>
      <c r="M26" s="43" t="n">
        <f aca="false">K26*L26</f>
        <v>0</v>
      </c>
      <c r="O26" s="58"/>
    </row>
    <row r="27" customFormat="false" ht="12.75" hidden="false" customHeight="false" outlineLevel="0" collapsed="false">
      <c r="B27" s="67" t="s">
        <v>178</v>
      </c>
      <c r="C27" s="58"/>
      <c r="E27" s="71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1" t="n">
        <f aca="false">SUM(L21:L22)</f>
        <v>17</v>
      </c>
      <c r="J27" s="0" t="s">
        <v>138</v>
      </c>
      <c r="K27" s="43" t="n">
        <v>240000</v>
      </c>
      <c r="L27" s="0" t="n">
        <v>0</v>
      </c>
      <c r="M27" s="43" t="n">
        <f aca="false">K27*L27</f>
        <v>0</v>
      </c>
      <c r="O27" s="71" t="n">
        <f aca="false">SUM(U21:U22)</f>
        <v>0</v>
      </c>
    </row>
    <row r="28" customFormat="false" ht="12.75" hidden="false" customHeight="false" outlineLevel="0" collapsed="false">
      <c r="B28" s="67"/>
      <c r="L28" s="0" t="n">
        <f aca="false">SUM(L16:L27)</f>
        <v>17</v>
      </c>
      <c r="M28" s="43" t="n">
        <f aca="false">SUM(M16:M27)</f>
        <v>1465200</v>
      </c>
    </row>
    <row r="29" customFormat="false" ht="12.75" hidden="false" customHeight="false" outlineLevel="0" collapsed="false">
      <c r="B29" s="67" t="s">
        <v>139</v>
      </c>
      <c r="E29" s="92" t="n">
        <f aca="false">SUM(E25:E27)</f>
        <v>141</v>
      </c>
      <c r="F29" s="71" t="n">
        <f aca="false">SUM(F25:F27)</f>
        <v>17</v>
      </c>
      <c r="H29" s="43"/>
      <c r="O29" s="71" t="n">
        <v>1</v>
      </c>
    </row>
    <row r="31" customFormat="false" ht="12.75" hidden="false" customHeight="false" outlineLevel="0" collapsed="false">
      <c r="I31" s="16" t="s">
        <v>140</v>
      </c>
      <c r="J31" s="43"/>
      <c r="K31" s="43"/>
      <c r="L31" s="43"/>
    </row>
    <row r="32" customFormat="false" ht="12.75" hidden="true" customHeight="false" outlineLevel="0" collapsed="false">
      <c r="B32" s="57" t="s">
        <v>107</v>
      </c>
      <c r="C32" s="58" t="n">
        <v>524067</v>
      </c>
      <c r="J32" s="43"/>
      <c r="K32" s="43"/>
      <c r="L32" s="43"/>
    </row>
    <row r="33" customFormat="false" ht="12.75" hidden="false" customHeight="false" outlineLevel="0" collapsed="false">
      <c r="I33" s="73" t="s">
        <v>141</v>
      </c>
      <c r="J33" s="74" t="s">
        <v>142</v>
      </c>
      <c r="K33" s="74" t="s">
        <v>143</v>
      </c>
      <c r="L33" s="74" t="s">
        <v>86</v>
      </c>
      <c r="M33" s="74" t="s">
        <v>144</v>
      </c>
    </row>
    <row r="34" customFormat="false" ht="12.75" hidden="false" customHeight="false" outlineLevel="0" collapsed="false">
      <c r="I34" s="75" t="n">
        <f aca="false">SUM(E12:E22)</f>
        <v>4466341.648</v>
      </c>
      <c r="J34" s="74" t="n">
        <f aca="false">+E29</f>
        <v>141</v>
      </c>
      <c r="K34" s="74" t="n">
        <f aca="false">+I34/J34</f>
        <v>31676.1819007092</v>
      </c>
      <c r="L34" s="74" t="n">
        <f aca="false">+L11</f>
        <v>17</v>
      </c>
      <c r="M34" s="74" t="n">
        <f aca="false">+K34*L34</f>
        <v>538495.092312057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7.7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false" outlineLevel="0" max="15" min="15" style="0" width="10.71"/>
  </cols>
  <sheetData>
    <row r="1" customFormat="false" ht="18" hidden="false" customHeight="false" outlineLevel="0" collapsed="false">
      <c r="B1" s="44" t="str">
        <f aca="false">'[3]Team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</row>
    <row r="2" customFormat="false" ht="18" hidden="false" customHeight="false" outlineLevel="0" collapsed="false">
      <c r="B2" s="44" t="s">
        <v>209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O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O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f aca="false">+'East-Trading AA'!H8+'West-Trading AA'!H8+'Texas-Trading AA'!H8+'Financial - AA'!H8+'Derivatives AA'!H8+'Central - Trading AA'!H8</f>
        <v>0</v>
      </c>
      <c r="I8" s="52" t="s">
        <v>96</v>
      </c>
      <c r="J8" s="43" t="n">
        <v>0</v>
      </c>
      <c r="L8" s="53" t="n">
        <f aca="false">L30</f>
        <v>1512720</v>
      </c>
      <c r="O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58" t="n">
        <v>0</v>
      </c>
      <c r="G9" s="59" t="n">
        <f aca="false">E9/$E$23</f>
        <v>0</v>
      </c>
      <c r="H9" s="58" t="n">
        <f aca="false">+'East-Trading AA'!H9+'West-Trading AA'!H9+'Texas-Trading AA'!H9+'Financial - AA'!H9+'Derivatives AA'!H9+'Central - Trading AA'!H9</f>
        <v>0</v>
      </c>
      <c r="I9" s="52"/>
      <c r="L9" s="53"/>
      <c r="O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58"/>
      <c r="E10" s="58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59" t="n">
        <f aca="false">E10/$E$23</f>
        <v>0.00377976191391553</v>
      </c>
      <c r="H10" s="58" t="n">
        <f aca="false">+'East-Trading AA'!H10+'West-Trading AA'!H10+'Texas-Trading AA'!H10+'Financial - AA'!H10+'Derivatives AA'!H10+'Central - Trading AA'!H10</f>
        <v>912100</v>
      </c>
      <c r="I10" s="52"/>
      <c r="L10" s="53"/>
      <c r="O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+'East-Trading AA'!H11+'West-Trading AA'!H11+'Texas-Trading AA'!H11+'Financial - AA'!H11+'Derivatives AA'!H11+'Central - Trading AA'!H11</f>
        <v>188804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8</v>
      </c>
      <c r="L11" s="53" t="n">
        <f aca="false">J11*K11</f>
        <v>386161.45</v>
      </c>
      <c r="O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f aca="false">+'East-Trading AA'!H12+'West-Trading AA'!H12+'Texas-Trading AA'!H12+'Financial - AA'!H12+'Derivatives AA'!H12+'Central - Trading AA'!H12</f>
        <v>77949.9475</v>
      </c>
      <c r="I12" s="52"/>
      <c r="L12" s="53"/>
      <c r="O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f aca="false">+'East-Trading AA'!H13+'West-Trading AA'!H13+'Texas-Trading AA'!H13+'Financial - AA'!H13+'Derivatives AA'!H13+'Central - Trading AA'!H13</f>
        <v>107609.956916667</v>
      </c>
      <c r="I13" s="63" t="s">
        <v>105</v>
      </c>
      <c r="J13" s="64"/>
      <c r="K13" s="64"/>
      <c r="L13" s="65" t="n">
        <f aca="false">L8+L11</f>
        <v>1898881.45</v>
      </c>
      <c r="O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f aca="false">+'East-Trading AA'!H14+'West-Trading AA'!H14+'Texas-Trading AA'!H14+'Financial - AA'!H14+'Derivatives AA'!H14+'Central - Trading AA'!H14</f>
        <v>2000.004</v>
      </c>
      <c r="O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f aca="false">+'East-Trading AA'!H15+'West-Trading AA'!H15+'Texas-Trading AA'!H15+'Financial - AA'!H15+'Derivatives AA'!H15+'Central - Trading AA'!H15</f>
        <v>47242.7166666667</v>
      </c>
      <c r="O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f aca="false">+'East-Trading AA'!H16+'West-Trading AA'!H16+'Texas-Trading AA'!H16+'Financial - AA'!H16+'Derivatives AA'!H16+'Central - Trading AA'!H16</f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O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f aca="false">+'East-Trading AA'!H17+'West-Trading AA'!H17+'Texas-Trading AA'!H17+'Financial - AA'!H17+'Derivatives AA'!H17+'Central - Trading AA'!H17</f>
        <v>672.166666666667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O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f aca="false">+'East-Trading AA'!H18+'West-Trading AA'!H18+'Texas-Trading AA'!H18+'Financial - AA'!H18+'Derivatives AA'!H18+'Central - Trading AA'!H18</f>
        <v>9285.83066666667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O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f aca="false">+'East-Trading AA'!H19+'West-Trading AA'!H19+'Texas-Trading AA'!H19+'Financial - AA'!H19+'Derivatives AA'!H19+'Central - Trading AA'!H19</f>
        <v>86140.344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O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f aca="false">+'East-Trading AA'!H20+'West-Trading AA'!H20+'Texas-Trading AA'!H20+'Financial - AA'!H20+'Derivatives AA'!H20+'Central - Trading AA'!H20</f>
        <v>2.05833333333333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O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f aca="false">+'East-Trading AA'!H21+'West-Trading AA'!H21+'Texas-Trading AA'!H21+'Financial - AA'!H21+'Derivatives AA'!H21+'Central - Trading AA'!H21</f>
        <v>18288.1485</v>
      </c>
      <c r="I21" s="43" t="s">
        <v>127</v>
      </c>
      <c r="J21" s="43" t="n">
        <v>60500</v>
      </c>
      <c r="K21" s="43" t="n">
        <v>1</v>
      </c>
      <c r="L21" s="43" t="n">
        <f aca="false">J21*K21</f>
        <v>60500</v>
      </c>
      <c r="O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0</v>
      </c>
      <c r="L22" s="43" t="n">
        <f aca="false">J22*K22</f>
        <v>0</v>
      </c>
      <c r="O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1450095.17325</v>
      </c>
      <c r="I23" s="43" t="s">
        <v>133</v>
      </c>
      <c r="J23" s="43" t="n">
        <v>110000</v>
      </c>
      <c r="K23" s="43" t="n">
        <v>2</v>
      </c>
      <c r="L23" s="43" t="n">
        <f aca="false">J23*K23</f>
        <v>220000</v>
      </c>
      <c r="O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4</v>
      </c>
      <c r="L24" s="43" t="n">
        <f aca="false">J24*K24</f>
        <v>572000</v>
      </c>
      <c r="O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1" t="n">
        <f aca="false">+'East-Trading AA'!H25+'West-Trading AA'!H25+'Texas-Trading AA'!H25+'Financial - AA'!H25+'Derivatives AA'!H25+'Central - Trading AA'!H25</f>
        <v>0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O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1</v>
      </c>
      <c r="L26" s="43" t="n">
        <f aca="false">J26*K26</f>
        <v>198000</v>
      </c>
      <c r="O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1" t="n">
        <f aca="false">+'East-Trading AA'!H27+'West-Trading AA'!H27+'Texas-Trading AA'!H27+'Financial - AA'!H27+'Derivatives AA'!H27+'Central - Trading AA'!H27</f>
        <v>12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O27" s="58"/>
    </row>
    <row r="28" customFormat="false" ht="12.75" hidden="false" customHeight="false" outlineLevel="0" collapsed="false">
      <c r="K28" s="43" t="n">
        <f aca="false">SUM(K16:K27)</f>
        <v>8</v>
      </c>
      <c r="L28" s="43" t="n">
        <f aca="false">SUM(L16:L27)*1.2</f>
        <v>1260600</v>
      </c>
      <c r="O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12</v>
      </c>
      <c r="L29" s="72" t="n">
        <v>0.2</v>
      </c>
      <c r="O29" s="58"/>
    </row>
    <row r="30" customFormat="false" ht="12.75" hidden="true" customHeight="false" outlineLevel="0" collapsed="false">
      <c r="L30" s="43" t="n">
        <f aca="false">L28*1.2</f>
        <v>1512720</v>
      </c>
      <c r="O30" s="21"/>
    </row>
    <row r="31" customFormat="false" ht="12.75" hidden="true" customHeight="false" outlineLevel="0" collapsed="false">
      <c r="H31" s="16" t="s">
        <v>140</v>
      </c>
      <c r="L31" s="0"/>
      <c r="O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O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O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8</v>
      </c>
      <c r="L34" s="74" t="n">
        <f aca="false">+J34*K34</f>
        <v>386161.45</v>
      </c>
      <c r="O34" s="21"/>
    </row>
    <row r="35" customFormat="false" ht="12.75" hidden="true" customHeight="false" outlineLevel="0" collapsed="false">
      <c r="O35" s="21"/>
    </row>
    <row r="36" customFormat="false" ht="12.75" hidden="true" customHeight="false" outlineLevel="0" collapsed="false">
      <c r="O36" s="21"/>
    </row>
    <row r="37" customFormat="false" ht="12.75" hidden="true" customHeight="false" outlineLevel="0" collapsed="false">
      <c r="O37" s="21"/>
    </row>
    <row r="38" customFormat="false" ht="12.75" hidden="true" customHeight="false" outlineLevel="0" collapsed="false">
      <c r="O38" s="21"/>
    </row>
    <row r="39" customFormat="false" ht="12.75" hidden="false" customHeight="false" outlineLevel="0" collapsed="false">
      <c r="O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0" min="16" style="0" width="9.14"/>
    <col collapsed="false" customWidth="false" hidden="true" outlineLevel="0" max="51" min="51" style="0" width="9.06"/>
    <col collapsed="false" customWidth="true" hidden="true" outlineLevel="0" max="52" min="52" style="0" width="21.13"/>
    <col collapsed="false" customWidth="true" hidden="true" outlineLevel="0" max="53" min="53" style="0" width="11.56"/>
    <col collapsed="false" customWidth="true" hidden="false" outlineLevel="0" max="54" min="54" style="0" width="8.56"/>
  </cols>
  <sheetData>
    <row r="1" customFormat="false" ht="18" hidden="false" customHeight="false" outlineLevel="0" collapsed="false">
      <c r="B1" s="44" t="str">
        <f aca="false">'[6]Team Report'!B1</f>
        <v>Enron North America</v>
      </c>
      <c r="C1" s="44"/>
      <c r="D1" s="44"/>
      <c r="E1" s="44"/>
      <c r="F1" s="44"/>
      <c r="G1" s="44"/>
      <c r="H1" s="44"/>
      <c r="I1" s="44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</row>
    <row r="2" customFormat="false" ht="18" hidden="false" customHeight="false" outlineLevel="0" collapsed="false">
      <c r="B2" s="44" t="s">
        <v>210</v>
      </c>
      <c r="C2" s="44"/>
      <c r="D2" s="44"/>
      <c r="E2" s="44"/>
      <c r="F2" s="44"/>
      <c r="G2" s="44"/>
      <c r="H2" s="44"/>
      <c r="I2" s="44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</row>
    <row r="3" customFormat="false" ht="18.75" hidden="false" customHeight="false" outlineLevel="0" collapsed="false">
      <c r="B3" s="93" t="s">
        <v>5</v>
      </c>
      <c r="C3" s="93"/>
      <c r="D3" s="93"/>
      <c r="E3" s="93"/>
      <c r="F3" s="93"/>
      <c r="G3" s="93"/>
      <c r="H3" s="93"/>
      <c r="I3" s="93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customFormat="false" ht="12.75" hidden="false" customHeight="false" outlineLevel="0" collapsed="false">
      <c r="K4" s="79"/>
      <c r="L4" s="80"/>
      <c r="M4" s="80"/>
      <c r="N4" s="81"/>
    </row>
    <row r="5" customFormat="false" ht="12.75" hidden="false" customHeight="false" outlineLevel="0" collapsed="false">
      <c r="K5" s="82"/>
      <c r="L5" s="21" t="s">
        <v>85</v>
      </c>
      <c r="M5" s="21" t="s">
        <v>86</v>
      </c>
      <c r="N5" s="83" t="s">
        <v>87</v>
      </c>
    </row>
    <row r="6" customFormat="false" ht="12.75" hidden="false" customHeight="false" outlineLevel="0" collapsed="false">
      <c r="C6" s="54" t="n">
        <v>37135</v>
      </c>
      <c r="E6" s="94" t="n">
        <v>2001</v>
      </c>
      <c r="F6" s="54"/>
      <c r="G6" s="94" t="n">
        <v>2002</v>
      </c>
      <c r="H6" s="54"/>
      <c r="I6" s="54" t="s">
        <v>180</v>
      </c>
      <c r="K6" s="82"/>
      <c r="L6" s="21"/>
      <c r="M6" s="21"/>
      <c r="N6" s="83"/>
      <c r="O6" s="94" t="n">
        <v>2002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/>
      <c r="G7" s="55" t="s">
        <v>94</v>
      </c>
      <c r="H7" s="55"/>
      <c r="I7" s="55" t="s">
        <v>181</v>
      </c>
      <c r="K7" s="82"/>
      <c r="L7" s="21"/>
      <c r="M7" s="21"/>
      <c r="N7" s="8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'[7]Executive Orig'!C8+[7]Trading!C8+[7]Origination!C8+'[7]Mid Market'!C8+[7]Services!C8+[7]Fundamentals!C8</f>
        <v>4789958.99</v>
      </c>
      <c r="E8" s="58" t="n">
        <f aca="false">(C8/9)*12</f>
        <v>6386611.98666667</v>
      </c>
      <c r="F8" s="58"/>
      <c r="G8" s="58" t="n">
        <f aca="false">SUM(N16:N20,N23:N27)</f>
        <v>0</v>
      </c>
      <c r="H8" s="58"/>
      <c r="I8" s="85" t="n">
        <f aca="false">+G8/$G$23</f>
        <v>0</v>
      </c>
      <c r="K8" s="82" t="s">
        <v>96</v>
      </c>
      <c r="L8" s="43" t="n">
        <v>0</v>
      </c>
      <c r="M8" s="21" t="n">
        <v>64</v>
      </c>
      <c r="N8" s="86" t="n">
        <f aca="false">N28</f>
        <v>671040</v>
      </c>
      <c r="O8" s="58" t="n">
        <f aca="false">+G8/$G$29*$O$29</f>
        <v>0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'[7]Executive Orig'!C9+[7]Trading!C9+[7]Origination!C9+'[7]Mid Market'!C9+[7]Services!C9+[7]Fundamentals!C9</f>
        <v>1464000</v>
      </c>
      <c r="E9" s="58" t="n">
        <f aca="false">+C9</f>
        <v>1464000</v>
      </c>
      <c r="F9" s="58"/>
      <c r="G9" s="58"/>
      <c r="H9" s="58"/>
      <c r="I9" s="85" t="n">
        <f aca="false">+G9/$G$23</f>
        <v>0</v>
      </c>
      <c r="K9" s="82"/>
      <c r="L9" s="21"/>
      <c r="M9" s="21"/>
      <c r="N9" s="83"/>
      <c r="O9" s="58" t="n">
        <f aca="false">+G9/$G$29*$O$29</f>
        <v>0</v>
      </c>
    </row>
    <row r="10" customFormat="false" ht="12.75" hidden="false" customHeight="false" outlineLevel="0" collapsed="false">
      <c r="B10" s="57" t="s">
        <v>176</v>
      </c>
      <c r="C10" s="58" t="n">
        <f aca="false">'[7]Executive Orig'!C10+[7]Trading!C10+[7]Origination!C10+'[7]Mid Market'!C10+[7]Services!C10+[7]Fundamentals!C10</f>
        <v>804567</v>
      </c>
      <c r="E10" s="58" t="n">
        <f aca="false">(C10/9)*12</f>
        <v>1072756</v>
      </c>
      <c r="F10" s="58"/>
      <c r="G10" s="58" t="n">
        <f aca="false">+N21+N22</f>
        <v>559200</v>
      </c>
      <c r="H10" s="58"/>
      <c r="I10" s="85" t="n">
        <f aca="false">+G10/$G$23</f>
        <v>0.631537932152291</v>
      </c>
      <c r="K10" s="82"/>
      <c r="L10" s="21"/>
      <c r="M10" s="21"/>
      <c r="N10" s="83"/>
      <c r="O10" s="58" t="n">
        <f aca="false">+G10/$G$29*$O$29</f>
        <v>69900</v>
      </c>
      <c r="AZ10" s="61"/>
      <c r="BA10" s="61"/>
      <c r="BB10" s="61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'[7]Executive Orig'!C11+[7]Trading!C11+[7]Origination!C11+'[7]Mid Market'!C11+[7]Services!C11+[7]Fundamentals!C11</f>
        <v>1096068.21</v>
      </c>
      <c r="E11" s="58" t="n">
        <f aca="false">(C11/9)*12</f>
        <v>1461424.28</v>
      </c>
      <c r="F11" s="58"/>
      <c r="G11" s="58" t="n">
        <f aca="false">+G8*0.2+(N21+N22)*0.2</f>
        <v>111840</v>
      </c>
      <c r="H11" s="58"/>
      <c r="I11" s="85" t="n">
        <f aca="false">+G11/$G$23</f>
        <v>0.126307586430458</v>
      </c>
      <c r="K11" s="82" t="s">
        <v>67</v>
      </c>
      <c r="L11" s="74" t="n">
        <f aca="false">(E12+E13+E14+E15+E16+E17+E18+E19+E20+E21+E22)/E29</f>
        <v>47533.8552808989</v>
      </c>
      <c r="M11" s="21" t="n">
        <f aca="false">M28</f>
        <v>8</v>
      </c>
      <c r="N11" s="86" t="n">
        <f aca="false">L11*M11</f>
        <v>380270.842247191</v>
      </c>
      <c r="O11" s="58" t="n">
        <f aca="false">+G11/$G$29*$O$29</f>
        <v>13980</v>
      </c>
      <c r="AZ11" s="61"/>
      <c r="BA11" s="61"/>
      <c r="BB11" s="61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'[7]Executive Orig'!C12+[7]Trading!C12+[7]Origination!C12+'[7]Mid Market'!C12+[7]Services!C12+[7]Fundamentals!C12</f>
        <v>658117.68</v>
      </c>
      <c r="E12" s="62" t="n">
        <f aca="false">((C12/9)*12)*1.2</f>
        <v>1052988.288</v>
      </c>
      <c r="F12" s="58"/>
      <c r="G12" s="58" t="n">
        <f aca="false">+(100*12*8)+(500*12*4)+((10000/9)*4)</f>
        <v>38044.4444444444</v>
      </c>
      <c r="H12" s="58"/>
      <c r="I12" s="85" t="n">
        <f aca="false">+G12/$G$23</f>
        <v>0.0429658615420729</v>
      </c>
      <c r="K12" s="82"/>
      <c r="L12" s="21"/>
      <c r="M12" s="21"/>
      <c r="N12" s="83"/>
      <c r="O12" s="58" t="n">
        <f aca="false">+G12/$G$29*$O$29</f>
        <v>4755.55555555556</v>
      </c>
      <c r="AZ12" s="61"/>
      <c r="BA12" s="61"/>
      <c r="BB12" s="61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'[7]Executive Orig'!C13+[7]Trading!C13+[7]Origination!C13+'[7]Mid Market'!C13+[7]Services!C13+[7]Fundamentals!C13</f>
        <v>719773.8</v>
      </c>
      <c r="E13" s="62" t="n">
        <f aca="false">((C13/9)*12)*1.2</f>
        <v>1151638.08</v>
      </c>
      <c r="F13" s="58"/>
      <c r="G13" s="58" t="n">
        <f aca="false">+(3*1100*4)+(2*1100*4)+(8*1100*4)+(5*1100*4)+(6*300*8)</f>
        <v>93600</v>
      </c>
      <c r="H13" s="58"/>
      <c r="I13" s="85" t="n">
        <f aca="false">+G13/$G$23</f>
        <v>0.105708065896735</v>
      </c>
      <c r="K13" s="87" t="s">
        <v>105</v>
      </c>
      <c r="L13" s="88"/>
      <c r="M13" s="88"/>
      <c r="N13" s="89" t="n">
        <f aca="false">N8+N11</f>
        <v>1051310.84224719</v>
      </c>
      <c r="O13" s="58" t="n">
        <f aca="false">+G13/$G$29*$O$29</f>
        <v>11700</v>
      </c>
      <c r="AZ13" s="61"/>
      <c r="BA13" s="61"/>
      <c r="BB13" s="61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'[7]Executive Orig'!C14+[7]Trading!C14+[7]Origination!C14+'[7]Mid Market'!C14+[7]Services!C14+[7]Fundamentals!C14-C32</f>
        <v>0.239999999757856</v>
      </c>
      <c r="E14" s="62" t="n">
        <f aca="false">((C14/9)*12)*1.2</f>
        <v>0.38399999961257</v>
      </c>
      <c r="F14" s="58"/>
      <c r="G14" s="58" t="n">
        <f aca="false">+E14/$E$29*$M$11</f>
        <v>0.0345168538977591</v>
      </c>
      <c r="H14" s="58"/>
      <c r="I14" s="85" t="n">
        <f aca="false">+G14/$G$23</f>
        <v>3.89819430167982E-008</v>
      </c>
      <c r="O14" s="58" t="n">
        <f aca="false">+G14/$G$29*$O$29</f>
        <v>0.00431460673721988</v>
      </c>
      <c r="AZ14" s="61"/>
      <c r="BA14" s="61"/>
      <c r="BB14" s="61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'[7]Executive Orig'!C15+[7]Trading!C15+[7]Origination!C15+'[7]Mid Market'!C15+[7]Services!C15+[7]Fundamentals!C15</f>
        <v>128890.14</v>
      </c>
      <c r="E15" s="62" t="n">
        <f aca="false">((C15/9)*12)*1.2</f>
        <v>206224.224</v>
      </c>
      <c r="F15" s="58"/>
      <c r="G15" s="58" t="n">
        <v>23040</v>
      </c>
      <c r="H15" s="58"/>
      <c r="I15" s="85" t="n">
        <f aca="false">+G15/$G$23</f>
        <v>0.0260204469899657</v>
      </c>
      <c r="O15" s="58" t="n">
        <f aca="false">+G15/$G$29*$O$29</f>
        <v>2880</v>
      </c>
      <c r="AZ15" s="61"/>
      <c r="BA15" s="61"/>
      <c r="BB15" s="61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'[7]Executive Orig'!C16+[7]Trading!C16+[7]Origination!C16+'[7]Mid Market'!C16+[7]Services!C16+[7]Fundamentals!C16</f>
        <v>0</v>
      </c>
      <c r="E16" s="62" t="n">
        <f aca="false">((C16/9)*12)*1.2</f>
        <v>0</v>
      </c>
      <c r="F16" s="58"/>
      <c r="G16" s="58" t="n">
        <f aca="false">+E16/$E$29*$M$11</f>
        <v>0</v>
      </c>
      <c r="H16" s="58"/>
      <c r="I16" s="85" t="n">
        <f aca="false">+G16/$G$23</f>
        <v>0</v>
      </c>
      <c r="K16" s="0" t="s">
        <v>177</v>
      </c>
      <c r="L16" s="43" t="n">
        <v>33600</v>
      </c>
      <c r="M16" s="0" t="n">
        <v>0</v>
      </c>
      <c r="N16" s="43" t="n">
        <f aca="false">L16*M16</f>
        <v>0</v>
      </c>
      <c r="O16" s="58" t="n">
        <f aca="false">+G16/$G$29*$O$29</f>
        <v>0</v>
      </c>
      <c r="AZ16" s="61"/>
      <c r="BA16" s="61"/>
      <c r="BB16" s="61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'[7]Executive Orig'!C17+[7]Trading!C17+[7]Origination!C17+'[7]Mid Market'!C17+[7]Services!C17+[7]Fundamentals!C17</f>
        <v>11300</v>
      </c>
      <c r="E17" s="62" t="n">
        <f aca="false">((C17/9)*12)*1.2</f>
        <v>18080</v>
      </c>
      <c r="F17" s="58"/>
      <c r="G17" s="58" t="n">
        <v>0</v>
      </c>
      <c r="H17" s="58"/>
      <c r="I17" s="85" t="n">
        <f aca="false">+G17/$G$23</f>
        <v>0</v>
      </c>
      <c r="K17" s="0" t="s">
        <v>115</v>
      </c>
      <c r="L17" s="43" t="n">
        <v>52800</v>
      </c>
      <c r="M17" s="0" t="n">
        <v>0</v>
      </c>
      <c r="N17" s="43" t="n">
        <f aca="false">L17*M17</f>
        <v>0</v>
      </c>
      <c r="O17" s="58" t="n">
        <f aca="false">+G17/$G$29*$O$29</f>
        <v>0</v>
      </c>
      <c r="AZ17" s="61"/>
      <c r="BA17" s="61"/>
      <c r="BB17" s="61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'[7]Executive Orig'!C18+[7]Trading!C18+[7]Origination!C18+'[7]Mid Market'!C18+[7]Services!C18+[7]Fundamentals!C18</f>
        <v>327447.74</v>
      </c>
      <c r="E18" s="62" t="n">
        <f aca="false">((C18/9)*12)*1.2</f>
        <v>523916.384</v>
      </c>
      <c r="F18" s="58"/>
      <c r="G18" s="58" t="n">
        <f aca="false">+(75*12*8)</f>
        <v>7200</v>
      </c>
      <c r="H18" s="58"/>
      <c r="I18" s="85" t="n">
        <f aca="false">+G18/$G$23</f>
        <v>0.00813138968436427</v>
      </c>
      <c r="K18" s="0" t="s">
        <v>118</v>
      </c>
      <c r="L18" s="43" t="n">
        <v>54000</v>
      </c>
      <c r="M18" s="0" t="n">
        <v>0</v>
      </c>
      <c r="N18" s="43" t="n">
        <f aca="false">L18*M18</f>
        <v>0</v>
      </c>
      <c r="O18" s="58" t="n">
        <f aca="false">+G18/$G$29*$O$29</f>
        <v>900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'[7]Executive Orig'!C19+[7]Trading!C19+[7]Origination!C19+'[7]Mid Market'!C19+[7]Services!C19+[7]Fundamentals!C19</f>
        <v>155845.37</v>
      </c>
      <c r="E19" s="62" t="n">
        <f aca="false">((C19/9)*12)*1.2</f>
        <v>249352.592</v>
      </c>
      <c r="F19" s="58"/>
      <c r="G19" s="58" t="n">
        <f aca="false">(82000/15*4)+(22000/9*4)</f>
        <v>31644.4444444444</v>
      </c>
      <c r="H19" s="58"/>
      <c r="I19" s="85" t="n">
        <f aca="false">+G19/$G$23</f>
        <v>0.0357379596004158</v>
      </c>
      <c r="K19" s="0" t="s">
        <v>121</v>
      </c>
      <c r="L19" s="43" t="n">
        <v>63000</v>
      </c>
      <c r="M19" s="0" t="n">
        <v>0</v>
      </c>
      <c r="N19" s="43" t="n">
        <f aca="false">L19*M19</f>
        <v>0</v>
      </c>
      <c r="O19" s="58" t="n">
        <f aca="false">+G19/$G$29*$O$29</f>
        <v>3955.55555555556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'[7]Executive Orig'!C20+[7]Trading!C20+[7]Origination!C20+'[7]Mid Market'!C20+[7]Services!C20+[7]Fundamentals!C20</f>
        <v>116.15</v>
      </c>
      <c r="E20" s="62" t="n">
        <f aca="false">((C20/9)*12)*1.2</f>
        <v>185.84</v>
      </c>
      <c r="F20" s="58"/>
      <c r="G20" s="58" t="n">
        <v>0</v>
      </c>
      <c r="H20" s="58"/>
      <c r="I20" s="85" t="n">
        <f aca="false">+G20/$G$23</f>
        <v>0</v>
      </c>
      <c r="K20" s="0" t="s">
        <v>124</v>
      </c>
      <c r="L20" s="43" t="n">
        <v>78000</v>
      </c>
      <c r="M20" s="0" t="n">
        <v>0</v>
      </c>
      <c r="N20" s="43" t="n">
        <f aca="false">L20*M20</f>
        <v>0</v>
      </c>
      <c r="O20" s="58" t="n">
        <f aca="false">+G20/$G$29*$O$29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'[7]Executive Orig'!C21+[7]Trading!C21+[7]Origination!C21+'[7]Mid Market'!C21+[7]Services!C21+[7]Fundamentals!C21</f>
        <v>566869.93</v>
      </c>
      <c r="E21" s="62" t="n">
        <f aca="false">((C21/9)*12)*1.2</f>
        <v>906991.888</v>
      </c>
      <c r="F21" s="58"/>
      <c r="G21" s="58" t="n">
        <v>10000</v>
      </c>
      <c r="H21" s="58"/>
      <c r="I21" s="85" t="n">
        <f aca="false">+G21/$G$23</f>
        <v>0.0112935967838393</v>
      </c>
      <c r="K21" s="0" t="s">
        <v>127</v>
      </c>
      <c r="L21" s="43" t="n">
        <v>66000</v>
      </c>
      <c r="M21" s="0" t="n">
        <f aca="false">7</f>
        <v>7</v>
      </c>
      <c r="N21" s="43" t="n">
        <f aca="false">L21*M21</f>
        <v>462000</v>
      </c>
      <c r="O21" s="58" t="n">
        <f aca="false">+G21/$G$29*$O$29</f>
        <v>1250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'[7]Executive Orig'!C22+[7]Trading!C22+[7]Origination!C22+'[7]Mid Market'!C22+[7]Services!C22+[7]Fundamentals!C22</f>
        <v>75709.65</v>
      </c>
      <c r="E22" s="62" t="n">
        <f aca="false">((C22/9)*12)*1.2</f>
        <v>121135.44</v>
      </c>
      <c r="F22" s="58"/>
      <c r="G22" s="58" t="n">
        <f aca="false">+E22/$E$29*$M$11</f>
        <v>10888.5788764045</v>
      </c>
      <c r="H22" s="58"/>
      <c r="I22" s="85" t="n">
        <f aca="false">+G22/$G$23</f>
        <v>0.0122971219379142</v>
      </c>
      <c r="K22" s="0" t="s">
        <v>130</v>
      </c>
      <c r="L22" s="43" t="n">
        <v>97200</v>
      </c>
      <c r="M22" s="0" t="n">
        <f aca="false">1</f>
        <v>1</v>
      </c>
      <c r="N22" s="43" t="n">
        <f aca="false">L22*M22</f>
        <v>97200</v>
      </c>
      <c r="O22" s="58" t="n">
        <f aca="false">+G22/$G$29*$O$29</f>
        <v>1361.07235955056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10798664.9</v>
      </c>
      <c r="E23" s="68" t="n">
        <f aca="false">SUM(E8:E22)</f>
        <v>14615305.3866667</v>
      </c>
      <c r="F23" s="70"/>
      <c r="G23" s="68" t="n">
        <f aca="false">SUM(G8:G22)</f>
        <v>885457.502282147</v>
      </c>
      <c r="H23" s="70"/>
      <c r="I23" s="91" t="n">
        <f aca="false">SUM(I8:I22)</f>
        <v>1</v>
      </c>
      <c r="K23" s="0" t="s">
        <v>133</v>
      </c>
      <c r="L23" s="43" t="n">
        <v>120000</v>
      </c>
      <c r="M23" s="0" t="n">
        <v>0</v>
      </c>
      <c r="N23" s="43" t="n">
        <f aca="false">L23*M23</f>
        <v>0</v>
      </c>
      <c r="O23" s="68" t="n">
        <f aca="false">SUM(O8:O22)</f>
        <v>110682.187785268</v>
      </c>
    </row>
    <row r="24" customFormat="false" ht="12.75" hidden="false" customHeight="false" outlineLevel="0" collapsed="false">
      <c r="K24" s="0" t="s">
        <v>134</v>
      </c>
      <c r="L24" s="43" t="n">
        <v>156000</v>
      </c>
      <c r="M24" s="0" t="n">
        <v>0</v>
      </c>
      <c r="N24" s="43" t="n">
        <f aca="false">L24*M24</f>
        <v>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'[7]Executive Orig'!E25+[7]Trading!E25+[7]Origination!E25+'[7]Mid Market'!E25+[7]Services!E25+[7]Fundamentals!E25</f>
        <v>74</v>
      </c>
      <c r="F25" s="58"/>
      <c r="G25" s="71" t="n">
        <f aca="false">SUM(M16:M20,M23:M27)</f>
        <v>0</v>
      </c>
      <c r="H25" s="58"/>
      <c r="K25" s="0" t="s">
        <v>135</v>
      </c>
      <c r="L25" s="43" t="n">
        <v>180000</v>
      </c>
      <c r="M25" s="0" t="n">
        <v>0</v>
      </c>
      <c r="N25" s="43" t="n">
        <f aca="false">L25*M25</f>
        <v>0</v>
      </c>
      <c r="O25" s="71" t="n">
        <f aca="false">SUM(U16:U20,U23:U27)</f>
        <v>0</v>
      </c>
    </row>
    <row r="26" customFormat="false" ht="12.75" hidden="false" customHeight="false" outlineLevel="0" collapsed="false">
      <c r="C26" s="58"/>
      <c r="E26" s="58"/>
      <c r="F26" s="58"/>
      <c r="G26" s="58"/>
      <c r="H26" s="58"/>
      <c r="K26" s="0" t="s">
        <v>136</v>
      </c>
      <c r="L26" s="43" t="n">
        <v>216000</v>
      </c>
      <c r="M26" s="0" t="n">
        <v>0</v>
      </c>
      <c r="N26" s="43" t="n">
        <f aca="false">L26*M26</f>
        <v>0</v>
      </c>
      <c r="O26" s="58"/>
    </row>
    <row r="27" customFormat="false" ht="12.75" hidden="false" customHeight="false" outlineLevel="0" collapsed="false">
      <c r="B27" s="67" t="s">
        <v>178</v>
      </c>
      <c r="C27" s="58"/>
      <c r="E27" s="71" t="n">
        <f aca="false">'[7]Executive Orig'!E27+[7]Trading!E27+[7]Origination!E27+'[7]Mid Market'!E27+[7]Services!E27+[7]Fundamentals!E27</f>
        <v>15</v>
      </c>
      <c r="F27" s="58"/>
      <c r="G27" s="71" t="n">
        <f aca="false">+M21+M22</f>
        <v>8</v>
      </c>
      <c r="H27" s="58"/>
      <c r="K27" s="0" t="s">
        <v>138</v>
      </c>
      <c r="L27" s="43" t="n">
        <v>240000</v>
      </c>
      <c r="M27" s="0" t="n">
        <v>0</v>
      </c>
      <c r="N27" s="43" t="n">
        <f aca="false">L27*M27</f>
        <v>0</v>
      </c>
      <c r="O27" s="71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8</v>
      </c>
      <c r="N28" s="43" t="n">
        <f aca="false">SUM(N16:N27)*1.2</f>
        <v>671040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89</v>
      </c>
      <c r="F29" s="58"/>
      <c r="G29" s="71" t="n">
        <f aca="false">+G27+G25</f>
        <v>8</v>
      </c>
      <c r="H29" s="58"/>
      <c r="I29" s="43"/>
      <c r="O29" s="71" t="n">
        <v>1</v>
      </c>
    </row>
    <row r="31" customFormat="false" ht="12.75" hidden="false" customHeight="false" outlineLevel="0" collapsed="false">
      <c r="J31" s="16" t="s">
        <v>140</v>
      </c>
      <c r="K31" s="43"/>
      <c r="L31" s="43"/>
      <c r="M31" s="43"/>
    </row>
    <row r="32" customFormat="false" ht="12.75" hidden="true" customHeight="false" outlineLevel="0" collapsed="false">
      <c r="B32" s="57" t="s">
        <v>107</v>
      </c>
      <c r="C32" s="58" t="n">
        <v>677322</v>
      </c>
      <c r="K32" s="43"/>
      <c r="L32" s="43"/>
      <c r="M32" s="43"/>
    </row>
    <row r="33" customFormat="false" ht="12.75" hidden="false" customHeight="false" outlineLevel="0" collapsed="false">
      <c r="J33" s="73" t="s">
        <v>141</v>
      </c>
      <c r="K33" s="74" t="s">
        <v>142</v>
      </c>
      <c r="L33" s="74" t="s">
        <v>143</v>
      </c>
      <c r="M33" s="74" t="s">
        <v>86</v>
      </c>
      <c r="N33" s="74" t="s">
        <v>144</v>
      </c>
    </row>
    <row r="34" customFormat="false" ht="12.75" hidden="false" customHeight="false" outlineLevel="0" collapsed="false">
      <c r="J34" s="75" t="n">
        <f aca="false">SUM(E12:E22)</f>
        <v>4230513.12</v>
      </c>
      <c r="K34" s="74" t="n">
        <f aca="false">+E29</f>
        <v>89</v>
      </c>
      <c r="L34" s="74" t="n">
        <f aca="false">+J34/K34</f>
        <v>47533.8552808989</v>
      </c>
      <c r="M34" s="74" t="n">
        <f aca="false">+M11</f>
        <v>8</v>
      </c>
      <c r="N34" s="74" t="n">
        <f aca="false">+L34*M34</f>
        <v>380270.842247191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64" activeCellId="0" sqref="D6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43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44" t="str">
        <f aca="false">'[8]Team Report'!B1</f>
        <v>Enron North America</v>
      </c>
      <c r="C1" s="44"/>
      <c r="D1" s="44"/>
      <c r="E1" s="44"/>
      <c r="F1" s="44"/>
      <c r="G1" s="44"/>
      <c r="H1" s="46"/>
      <c r="I1" s="45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customFormat="false" ht="18" hidden="false" customHeight="false" outlineLevel="0" collapsed="false">
      <c r="B2" s="44" t="s">
        <v>211</v>
      </c>
      <c r="C2" s="44"/>
      <c r="D2" s="44"/>
      <c r="E2" s="44"/>
      <c r="F2" s="44"/>
      <c r="G2" s="44"/>
      <c r="H2" s="46"/>
      <c r="I2" s="45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8"/>
      <c r="I3" s="45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customFormat="false" ht="12.75" hidden="false" customHeight="false" outlineLevel="0" collapsed="false">
      <c r="H4" s="79"/>
      <c r="I4" s="50"/>
      <c r="J4" s="80"/>
      <c r="K4" s="81"/>
    </row>
    <row r="5" customFormat="false" ht="12.75" hidden="false" customHeight="false" outlineLevel="0" collapsed="false">
      <c r="H5" s="82"/>
      <c r="I5" s="43" t="s">
        <v>85</v>
      </c>
      <c r="J5" s="21" t="s">
        <v>86</v>
      </c>
      <c r="K5" s="83" t="s">
        <v>87</v>
      </c>
    </row>
    <row r="6" customFormat="false" ht="12.75" hidden="false" customHeight="false" outlineLevel="0" collapsed="false">
      <c r="C6" s="54" t="n">
        <v>37135</v>
      </c>
      <c r="E6" s="54" t="s">
        <v>90</v>
      </c>
      <c r="G6" s="54" t="s">
        <v>90</v>
      </c>
      <c r="H6" s="82"/>
      <c r="J6" s="21"/>
      <c r="K6" s="83"/>
      <c r="O6" s="94" t="n">
        <v>2002</v>
      </c>
      <c r="AK6" s="9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94</v>
      </c>
      <c r="H7" s="82"/>
      <c r="J7" s="21"/>
      <c r="K7" s="83"/>
      <c r="O7" s="55" t="s">
        <v>94</v>
      </c>
      <c r="AK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+'[9]Natural Gas'!C8+[9]Ontario!C8+[9]Finance!C8+[9]Executive!C8+[9]Alberta!C8</f>
        <v>2855922.03</v>
      </c>
      <c r="E8" s="58" t="n">
        <f aca="false">+'[9]Natural Gas'!E8+[9]Ontario!E8+[9]Finance!E8+[9]Executive!E8+[9]Alberta!E8</f>
        <v>3807896.04</v>
      </c>
      <c r="G8" s="58" t="n">
        <v>0</v>
      </c>
      <c r="H8" s="82" t="s">
        <v>96</v>
      </c>
      <c r="I8" s="43" t="n">
        <v>0</v>
      </c>
      <c r="J8" s="21"/>
      <c r="K8" s="86" t="n">
        <f aca="false">K28</f>
        <v>946080</v>
      </c>
      <c r="O8" s="58" t="n">
        <f aca="false">+G8/$G$29*$O$29</f>
        <v>0</v>
      </c>
      <c r="AK8" s="58"/>
    </row>
    <row r="9" customFormat="false" ht="12.75" hidden="false" customHeight="false" outlineLevel="0" collapsed="false">
      <c r="A9" s="56"/>
      <c r="B9" s="57" t="s">
        <v>97</v>
      </c>
      <c r="C9" s="58" t="n">
        <f aca="false">+'[9]Natural Gas'!C9+[9]Ontario!C9+[9]Finance!C9+[9]Executive!C9+[9]Alberta!C9</f>
        <v>0</v>
      </c>
      <c r="E9" s="58" t="n">
        <f aca="false">+'[9]Natural Gas'!E9+[9]Ontario!E9+[9]Finance!E9+[9]Executive!E9+[9]Alberta!E9</f>
        <v>0</v>
      </c>
      <c r="G9" s="58" t="n">
        <v>0</v>
      </c>
      <c r="H9" s="82"/>
      <c r="J9" s="21"/>
      <c r="K9" s="83"/>
      <c r="O9" s="58" t="n">
        <f aca="false">+G9/$G$29*$O$29</f>
        <v>0</v>
      </c>
      <c r="AK9" s="58"/>
    </row>
    <row r="10" customFormat="false" ht="12.75" hidden="false" customHeight="false" outlineLevel="0" collapsed="false">
      <c r="A10" s="56"/>
      <c r="B10" s="57" t="s">
        <v>184</v>
      </c>
      <c r="C10" s="58" t="n">
        <v>0</v>
      </c>
      <c r="E10" s="58" t="n">
        <v>0</v>
      </c>
      <c r="G10" s="58" t="n">
        <f aca="false">K22+K21</f>
        <v>788400</v>
      </c>
      <c r="H10" s="82"/>
      <c r="J10" s="21"/>
      <c r="K10" s="83"/>
      <c r="O10" s="58" t="n">
        <f aca="false">+G10/$G$29*$O$29</f>
        <v>71672.7272727273</v>
      </c>
      <c r="AK10" s="104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+'[9]Natural Gas'!C11+[9]Ontario!C11+[9]Finance!C11+[9]Executive!C10+[9]Alberta!C11</f>
        <v>312682.37</v>
      </c>
      <c r="E11" s="58" t="n">
        <f aca="false">+'[9]Natural Gas'!E11+[9]Ontario!E11+[9]Finance!E11+[9]Executive!E10+[9]Alberta!E11</f>
        <v>416909.826666667</v>
      </c>
      <c r="G11" s="58" t="n">
        <f aca="false">G10*0.3105</f>
        <v>244798.2</v>
      </c>
      <c r="H11" s="82" t="s">
        <v>67</v>
      </c>
      <c r="I11" s="74" t="n">
        <f aca="false">(E12+E13+E14+E15+E16+E17+E18+E19+E20+E21+E22)/E29</f>
        <v>31253.50784</v>
      </c>
      <c r="J11" s="21" t="n">
        <f aca="false">J28</f>
        <v>11</v>
      </c>
      <c r="K11" s="86" t="n">
        <f aca="false">I11*J11</f>
        <v>343788.58624</v>
      </c>
      <c r="O11" s="58" t="n">
        <f aca="false">+G11/$G$29*$O$29</f>
        <v>22254.3818181818</v>
      </c>
      <c r="AK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+'[9]Natural Gas'!C12+[9]Ontario!C12+[9]Finance!C12+[9]Executive!C12+[9]Alberta!C12</f>
        <v>67320.13</v>
      </c>
      <c r="E12" s="62" t="n">
        <f aca="false">(+'[9]Natural Gas'!E12+[9]Ontario!E12+[9]Finance!E12+[9]Executive!E12+[9]Alberta!E12)*1.2</f>
        <v>107712.208</v>
      </c>
      <c r="G12" s="58" t="n">
        <f aca="false">(E12/$E$29)*$G$29</f>
        <v>23696.68576</v>
      </c>
      <c r="H12" s="82"/>
      <c r="J12" s="21"/>
      <c r="K12" s="83"/>
      <c r="O12" s="58" t="n">
        <f aca="false">+G12/$G$29*$O$29</f>
        <v>2154.24416</v>
      </c>
      <c r="AK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+'[9]Natural Gas'!C13+[9]Ontario!C13+[9]Finance!C13+[9]Executive!C13+[9]Alberta!C13</f>
        <v>297871.84</v>
      </c>
      <c r="E13" s="62" t="n">
        <f aca="false">(+'[9]Natural Gas'!E13+[9]Ontario!E13+[9]Finance!E13+[9]Executive!E13+[9]Alberta!E13)*1.2</f>
        <v>476594.944</v>
      </c>
      <c r="G13" s="58" t="n">
        <f aca="false">(E13/$E$29)*$G$29</f>
        <v>104850.88768</v>
      </c>
      <c r="H13" s="87" t="s">
        <v>105</v>
      </c>
      <c r="I13" s="64"/>
      <c r="J13" s="88"/>
      <c r="K13" s="89" t="n">
        <f aca="false">K8+K11</f>
        <v>1289868.58624</v>
      </c>
      <c r="O13" s="58" t="n">
        <f aca="false">+G13/$G$29*$O$29</f>
        <v>9531.89888</v>
      </c>
      <c r="AK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+'[9]Natural Gas'!C14+[9]Ontario!C14+[9]Finance!C14+[9]Executive!C14+[9]Alberta!C14</f>
        <v>505739.98</v>
      </c>
      <c r="E14" s="62" t="n">
        <f aca="false">(+'[9]Natural Gas'!E14+[9]Ontario!E14+[9]Finance!E14+[9]Executive!E14+[9]Alberta!E14)*1.2</f>
        <v>809183.968</v>
      </c>
      <c r="G14" s="58" t="n">
        <f aca="false">(E14/$E$29)*$G$29</f>
        <v>178020.47296</v>
      </c>
      <c r="O14" s="58" t="n">
        <f aca="false">+G14/$G$29*$O$29</f>
        <v>16183.67936</v>
      </c>
      <c r="AK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+'[9]Natural Gas'!C15+[9]Ontario!C15+[9]Finance!C15+[9]Executive!C15+[9]Alberta!C15</f>
        <v>6427.42</v>
      </c>
      <c r="E15" s="62" t="n">
        <f aca="false">(+'[9]Natural Gas'!E15+[9]Ontario!E15+[9]Finance!E15+[9]Executive!E15+[9]Alberta!E15)*1.2</f>
        <v>10283.872</v>
      </c>
      <c r="G15" s="58" t="n">
        <f aca="false">(E15/$E$29)*$G$29</f>
        <v>2262.45184</v>
      </c>
      <c r="O15" s="58" t="n">
        <f aca="false">+G15/$G$29*$O$29</f>
        <v>205.67744</v>
      </c>
      <c r="AK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+'[9]Natural Gas'!C16+[9]Ontario!C16+[9]Finance!C16+[9]Executive!C16+[9]Alberta!C16</f>
        <v>0</v>
      </c>
      <c r="E16" s="62" t="n">
        <f aca="false">(+'[9]Natural Gas'!E16+[9]Ontario!E16+[9]Finance!E16+[9]Executive!E16+[9]Alberta!E16)*1.2</f>
        <v>0</v>
      </c>
      <c r="G16" s="58" t="n">
        <f aca="false">(E16/$E$29)*$G$29</f>
        <v>0</v>
      </c>
      <c r="H16" s="0" t="s">
        <v>177</v>
      </c>
      <c r="I16" s="43" t="n">
        <v>33600</v>
      </c>
      <c r="J16" s="0" t="n">
        <v>0</v>
      </c>
      <c r="K16" s="0" t="n">
        <f aca="false">I16*J16</f>
        <v>0</v>
      </c>
      <c r="O16" s="58" t="n">
        <f aca="false">+G16/$G$29*$O$29</f>
        <v>0</v>
      </c>
      <c r="AK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+'[9]Natural Gas'!C17+[9]Ontario!C17+[9]Finance!C17+[9]Executive!C17+[9]Alberta!C17</f>
        <v>1883.62</v>
      </c>
      <c r="E17" s="62" t="n">
        <f aca="false">(+'[9]Natural Gas'!E17+[9]Ontario!E17+[9]Finance!E17+[9]Executive!E17+[9]Alberta!E17)*1.2</f>
        <v>3013.792</v>
      </c>
      <c r="G17" s="58" t="n">
        <f aca="false">(E17/$E$29)*$G$29</f>
        <v>663.03424</v>
      </c>
      <c r="H17" s="0" t="s">
        <v>115</v>
      </c>
      <c r="I17" s="43" t="n">
        <v>52800</v>
      </c>
      <c r="J17" s="0" t="n">
        <v>0</v>
      </c>
      <c r="K17" s="0" t="n">
        <f aca="false">I17*J17</f>
        <v>0</v>
      </c>
      <c r="O17" s="58" t="n">
        <f aca="false">+G17/$G$29*$O$29</f>
        <v>60.27584</v>
      </c>
      <c r="AK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+'[9]Natural Gas'!C18+[9]Ontario!C18+[9]Finance!C18+[9]Executive!C18+[9]Alberta!C18</f>
        <v>19208.42</v>
      </c>
      <c r="E18" s="62" t="n">
        <f aca="false">(+'[9]Natural Gas'!E18+[9]Ontario!E18+[9]Finance!E18+[9]Executive!E18+[9]Alberta!E18)*1.2</f>
        <v>30733.472</v>
      </c>
      <c r="G18" s="58" t="n">
        <f aca="false">(E18/$E$29)*$G$29</f>
        <v>6761.36384</v>
      </c>
      <c r="H18" s="0" t="s">
        <v>118</v>
      </c>
      <c r="I18" s="43" t="n">
        <v>54000</v>
      </c>
      <c r="J18" s="0" t="n">
        <v>0</v>
      </c>
      <c r="K18" s="0" t="n">
        <f aca="false">I18*J18</f>
        <v>0</v>
      </c>
      <c r="O18" s="58" t="n">
        <f aca="false">+G18/$G$29*$O$29</f>
        <v>614.66944</v>
      </c>
      <c r="AK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+'[9]Natural Gas'!C19+[9]Ontario!C19+[9]Finance!C19+[9]Executive!C19+[9]Alberta!C19</f>
        <v>52344.84</v>
      </c>
      <c r="E19" s="62" t="n">
        <f aca="false">(+'[9]Natural Gas'!E19+[9]Ontario!E19+[9]Finance!E19+[9]Executive!E19+[9]Alberta!E19)*1.2</f>
        <v>83751.744</v>
      </c>
      <c r="G19" s="58" t="n">
        <f aca="false">(E19/$E$29)*$G$29</f>
        <v>18425.38368</v>
      </c>
      <c r="H19" s="0" t="s">
        <v>121</v>
      </c>
      <c r="I19" s="43" t="n">
        <v>63000</v>
      </c>
      <c r="J19" s="0" t="n">
        <v>0</v>
      </c>
      <c r="K19" s="0" t="n">
        <f aca="false">I19*J19</f>
        <v>0</v>
      </c>
      <c r="O19" s="58" t="n">
        <f aca="false">+G19/$G$29*$O$29</f>
        <v>1675.03488</v>
      </c>
      <c r="AK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+'[9]Natural Gas'!C20+[9]Ontario!C20+[9]Finance!C20+[9]Executive!C20+[9]Alberta!C20</f>
        <v>0</v>
      </c>
      <c r="E20" s="62" t="n">
        <f aca="false">(+'[9]Natural Gas'!E20+[9]Ontario!E20+[9]Finance!E20+[9]Executive!E20+[9]Alberta!E20)*1.2</f>
        <v>0</v>
      </c>
      <c r="G20" s="58" t="n">
        <f aca="false">(E20/$E$29)*$G$29</f>
        <v>0</v>
      </c>
      <c r="H20" s="0" t="s">
        <v>124</v>
      </c>
      <c r="I20" s="43" t="n">
        <v>78000</v>
      </c>
      <c r="J20" s="0" t="n">
        <v>0</v>
      </c>
      <c r="K20" s="0" t="n">
        <f aca="false">I20*J20</f>
        <v>0</v>
      </c>
      <c r="O20" s="58" t="n">
        <f aca="false">+G20/$G$29*$O$29</f>
        <v>0</v>
      </c>
      <c r="AK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+'[9]Natural Gas'!C21+[9]Ontario!C21+[9]Finance!C21+[9]Executive!C21+[9]Alberta!C21</f>
        <v>19769.17</v>
      </c>
      <c r="E21" s="62" t="n">
        <f aca="false">(+'[9]Natural Gas'!E21+[9]Ontario!E21+[9]Finance!E21+[9]Executive!E21+[9]Alberta!E21)*1.2</f>
        <v>31630.6720000001</v>
      </c>
      <c r="G21" s="58" t="n">
        <f aca="false">(E21/$E$29)*$G$29</f>
        <v>6958.74784000002</v>
      </c>
      <c r="H21" s="0" t="s">
        <v>127</v>
      </c>
      <c r="I21" s="43" t="n">
        <v>66000</v>
      </c>
      <c r="J21" s="0" t="n">
        <f aca="false">3+5+1</f>
        <v>9</v>
      </c>
      <c r="K21" s="0" t="n">
        <f aca="false">I21*J21</f>
        <v>594000</v>
      </c>
      <c r="O21" s="58" t="n">
        <f aca="false">+G21/$G$29*$O$29</f>
        <v>632.613440000001</v>
      </c>
      <c r="AK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+'[9]Natural Gas'!C22+[9]Ontario!C22+[9]Finance!C22+[9]Executive!C22+[9]Alberta!C22</f>
        <v>6106.70000000001</v>
      </c>
      <c r="E22" s="62" t="n">
        <f aca="false">(+'[9]Natural Gas'!E22+[9]Ontario!E22+[9]Finance!E22+[9]Executive!E22+[9]Alberta!E22)*1.2</f>
        <v>9770.72000000001</v>
      </c>
      <c r="G22" s="58" t="n">
        <f aca="false">(E22/$E$29)*$G$29</f>
        <v>2149.5584</v>
      </c>
      <c r="H22" s="0" t="s">
        <v>130</v>
      </c>
      <c r="I22" s="43" t="n">
        <v>97200</v>
      </c>
      <c r="J22" s="0" t="n">
        <v>2</v>
      </c>
      <c r="K22" s="0" t="n">
        <f aca="false">I22*J22</f>
        <v>194400</v>
      </c>
      <c r="O22" s="58" t="n">
        <f aca="false">+G22/$G$29*$O$29</f>
        <v>195.4144</v>
      </c>
      <c r="AK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4145276.52</v>
      </c>
      <c r="E23" s="68" t="n">
        <f aca="false">SUM(E8:E22)</f>
        <v>5787481.25866667</v>
      </c>
      <c r="G23" s="68" t="n">
        <f aca="false">SUM(G8:G22)</f>
        <v>1376986.78624</v>
      </c>
      <c r="H23" s="0" t="s">
        <v>133</v>
      </c>
      <c r="I23" s="43" t="n">
        <v>120000</v>
      </c>
      <c r="J23" s="0" t="n">
        <v>0</v>
      </c>
      <c r="K23" s="0" t="n">
        <f aca="false">I23*J23</f>
        <v>0</v>
      </c>
      <c r="O23" s="68" t="n">
        <f aca="false">SUM(O8:O22)</f>
        <v>125180.616930909</v>
      </c>
      <c r="AK23" s="70"/>
    </row>
    <row r="24" customFormat="false" ht="12.75" hidden="false" customHeight="false" outlineLevel="0" collapsed="false">
      <c r="H24" s="0" t="s">
        <v>134</v>
      </c>
      <c r="I24" s="43" t="n">
        <v>156000</v>
      </c>
      <c r="J24" s="0" t="n">
        <v>0</v>
      </c>
      <c r="K24" s="0" t="n">
        <f aca="false">I24*J24</f>
        <v>0</v>
      </c>
      <c r="AK24" s="21"/>
    </row>
    <row r="25" customFormat="false" ht="12.75" hidden="false" customHeight="false" outlineLevel="0" collapsed="false">
      <c r="B25" s="67" t="s">
        <v>9</v>
      </c>
      <c r="C25" s="3"/>
      <c r="E25" s="95" t="n">
        <f aca="false">+'[9]Natural Gas'!E25+[9]Ontario!E25+[9]Finance!E25+[9]Executive!E25+[9]Alberta!E25</f>
        <v>30</v>
      </c>
      <c r="G25" s="95" t="n">
        <f aca="false">SUM(J16:J20,J23:J27)</f>
        <v>0</v>
      </c>
      <c r="H25" s="0" t="s">
        <v>135</v>
      </c>
      <c r="I25" s="43" t="n">
        <v>180000</v>
      </c>
      <c r="J25" s="0" t="n">
        <v>0</v>
      </c>
      <c r="K25" s="0" t="n">
        <f aca="false">I25*J25</f>
        <v>0</v>
      </c>
      <c r="O25" s="71" t="n">
        <f aca="false">SUM(U16:U20,U23:U27)</f>
        <v>0</v>
      </c>
      <c r="AK25" s="58"/>
    </row>
    <row r="26" customFormat="false" ht="12.75" hidden="false" customHeight="false" outlineLevel="0" collapsed="false">
      <c r="C26" s="58"/>
      <c r="E26" s="57"/>
      <c r="G26" s="57"/>
      <c r="H26" s="0" t="s">
        <v>136</v>
      </c>
      <c r="I26" s="43" t="n">
        <v>216000</v>
      </c>
      <c r="J26" s="0" t="n">
        <v>0</v>
      </c>
      <c r="K26" s="0" t="n">
        <f aca="false">I26*J26</f>
        <v>0</v>
      </c>
      <c r="O26" s="58"/>
      <c r="AK26" s="58"/>
    </row>
    <row r="27" customFormat="false" ht="12.75" hidden="false" customHeight="false" outlineLevel="0" collapsed="false">
      <c r="B27" s="67" t="s">
        <v>178</v>
      </c>
      <c r="C27" s="58"/>
      <c r="E27" s="95" t="n">
        <f aca="false">+'[9]Natural Gas'!E27+[9]Ontario!E27+[9]Finance!E27+[9]Executive!E27+[9]Alberta!E27</f>
        <v>20</v>
      </c>
      <c r="G27" s="95" t="n">
        <f aca="false">SUM(J21:J22)</f>
        <v>11</v>
      </c>
      <c r="H27" s="0" t="s">
        <v>185</v>
      </c>
      <c r="I27" s="43" t="n">
        <v>240000</v>
      </c>
      <c r="J27" s="0" t="n">
        <v>0</v>
      </c>
      <c r="K27" s="0" t="n">
        <f aca="false">I27*J27</f>
        <v>0</v>
      </c>
      <c r="O27" s="71" t="n">
        <f aca="false">+U21+U22</f>
        <v>0</v>
      </c>
      <c r="AK27" s="58"/>
    </row>
    <row r="28" customFormat="false" ht="12.75" hidden="false" customHeight="false" outlineLevel="0" collapsed="false">
      <c r="J28" s="0" t="n">
        <f aca="false">SUM(J16:J27)</f>
        <v>11</v>
      </c>
      <c r="K28" s="0" t="n">
        <f aca="false">SUM(K16:K27)*1.2</f>
        <v>946080</v>
      </c>
      <c r="AK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50</v>
      </c>
      <c r="F29" s="58"/>
      <c r="G29" s="71" t="n">
        <f aca="false">+G27+G25</f>
        <v>11</v>
      </c>
      <c r="H29" s="60"/>
      <c r="O29" s="71" t="n">
        <v>1</v>
      </c>
      <c r="AK29" s="58"/>
    </row>
    <row r="30" customFormat="false" ht="12.75" hidden="true" customHeight="false" outlineLevel="0" collapsed="false"/>
    <row r="31" customFormat="false" ht="12.75" hidden="true" customHeight="false" outlineLevel="0" collapsed="false">
      <c r="A31" s="56" t="s">
        <v>186</v>
      </c>
      <c r="B31" s="57" t="s">
        <v>187</v>
      </c>
      <c r="C31" s="58"/>
      <c r="E31" s="58"/>
      <c r="G31" s="16" t="s">
        <v>140</v>
      </c>
      <c r="H31" s="43"/>
      <c r="J31" s="43"/>
    </row>
    <row r="32" customFormat="false" ht="12.75" hidden="true" customHeight="false" outlineLevel="0" collapsed="false">
      <c r="A32" s="56" t="s">
        <v>188</v>
      </c>
      <c r="B32" s="57"/>
      <c r="C32" s="58"/>
      <c r="E32" s="58"/>
      <c r="H32" s="43"/>
      <c r="J32" s="43"/>
    </row>
    <row r="33" customFormat="false" ht="12.75" hidden="true" customHeight="false" outlineLevel="0" collapsed="false">
      <c r="A33" s="56" t="s">
        <v>189</v>
      </c>
      <c r="B33" s="57"/>
      <c r="C33" s="58"/>
      <c r="E33" s="58"/>
      <c r="G33" s="73" t="s">
        <v>141</v>
      </c>
      <c r="H33" s="74" t="s">
        <v>142</v>
      </c>
      <c r="I33" s="74" t="s">
        <v>143</v>
      </c>
      <c r="J33" s="74" t="s">
        <v>86</v>
      </c>
      <c r="K33" s="74" t="s">
        <v>144</v>
      </c>
    </row>
    <row r="34" customFormat="false" ht="12.75" hidden="true" customHeight="false" outlineLevel="0" collapsed="false">
      <c r="A34" s="56" t="s">
        <v>190</v>
      </c>
      <c r="B34" s="57"/>
      <c r="C34" s="58"/>
      <c r="E34" s="58"/>
      <c r="G34" s="75" t="n">
        <f aca="false">SUM(E12:E22)</f>
        <v>1562675.392</v>
      </c>
      <c r="H34" s="74" t="n">
        <f aca="false">+E29</f>
        <v>50</v>
      </c>
      <c r="I34" s="74" t="n">
        <f aca="false">+G34/H34</f>
        <v>31253.50784</v>
      </c>
      <c r="J34" s="74" t="n">
        <f aca="false">+J11</f>
        <v>11</v>
      </c>
      <c r="K34" s="74" t="n">
        <f aca="false">+I34*J34</f>
        <v>343788.58624</v>
      </c>
    </row>
    <row r="35" customFormat="false" ht="12.75" hidden="true" customHeight="false" outlineLevel="0" collapsed="false">
      <c r="A35" s="56" t="s">
        <v>191</v>
      </c>
      <c r="B35" s="57"/>
      <c r="C35" s="58"/>
      <c r="E35" s="58"/>
    </row>
    <row r="36" customFormat="false" ht="12.75" hidden="true" customHeight="false" outlineLevel="0" collapsed="false">
      <c r="A36" s="56" t="s">
        <v>192</v>
      </c>
      <c r="B36" s="57"/>
      <c r="C36" s="58"/>
      <c r="E36" s="58"/>
    </row>
    <row r="37" customFormat="false" ht="12.75" hidden="true" customHeight="false" outlineLevel="0" collapsed="false">
      <c r="A37" s="56" t="s">
        <v>193</v>
      </c>
      <c r="B37" s="57"/>
      <c r="C37" s="58"/>
      <c r="E37" s="58"/>
    </row>
    <row r="38" customFormat="false" ht="12.75" hidden="true" customHeight="false" outlineLevel="0" collapsed="false">
      <c r="A38" s="56" t="s">
        <v>194</v>
      </c>
      <c r="B38" s="57"/>
      <c r="C38" s="58"/>
      <c r="E38" s="58"/>
    </row>
    <row r="39" customFormat="false" ht="12.75" hidden="true" customHeight="false" outlineLevel="0" collapsed="false">
      <c r="B39" s="57"/>
      <c r="C39" s="58"/>
      <c r="E39" s="58"/>
    </row>
    <row r="40" customFormat="false" ht="12.75" hidden="true" customHeight="false" outlineLevel="0" collapsed="false">
      <c r="B40" s="57"/>
      <c r="C40" s="58"/>
      <c r="E40" s="58"/>
    </row>
    <row r="41" customFormat="false" ht="12.75" hidden="true" customHeight="false" outlineLevel="0" collapsed="false">
      <c r="B41" s="57"/>
      <c r="C41" s="58"/>
      <c r="E41" s="58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96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212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Q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Q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f aca="false">L28-H10</f>
        <v>696960</v>
      </c>
      <c r="I8" s="52" t="s">
        <v>96</v>
      </c>
      <c r="J8" s="43" t="n">
        <v>0</v>
      </c>
      <c r="L8" s="53" t="n">
        <f aca="false">L30</f>
        <v>836352</v>
      </c>
      <c r="Q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8" t="n">
        <v>0</v>
      </c>
      <c r="G9" s="59" t="n">
        <f aca="false">E9/$E$23</f>
        <v>0</v>
      </c>
      <c r="H9" s="58" t="n">
        <v>0</v>
      </c>
      <c r="I9" s="52"/>
      <c r="L9" s="53"/>
      <c r="Q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8"/>
      <c r="E10" s="58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9" t="n">
        <f aca="false">E10/$E$23</f>
        <v>0.00377976191391553</v>
      </c>
      <c r="H10" s="58" t="n">
        <f aca="false">L21+L22</f>
        <v>0</v>
      </c>
      <c r="I10" s="52"/>
      <c r="L10" s="53"/>
      <c r="Q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L30-L28</f>
        <v>139392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12</v>
      </c>
      <c r="L11" s="53" t="n">
        <f aca="false">J11*K11</f>
        <v>579242.175</v>
      </c>
      <c r="Q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v>24000</v>
      </c>
      <c r="I12" s="52"/>
      <c r="L12" s="53"/>
      <c r="Q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v>15000</v>
      </c>
      <c r="I13" s="63" t="s">
        <v>105</v>
      </c>
      <c r="J13" s="64"/>
      <c r="K13" s="64"/>
      <c r="L13" s="65" t="n">
        <f aca="false">L8+L11</f>
        <v>1415594.175</v>
      </c>
      <c r="N13" s="43"/>
      <c r="P13" s="60"/>
      <c r="Q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f aca="false">(E14/$E$29)*$K$11</f>
        <v>0.0240000000019791</v>
      </c>
      <c r="Q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v>20000</v>
      </c>
      <c r="Q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f aca="false">(E16/$E$29)*$K$11</f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Q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v>0</v>
      </c>
      <c r="I17" s="43" t="s">
        <v>115</v>
      </c>
      <c r="J17" s="43" t="n">
        <v>48400</v>
      </c>
      <c r="K17" s="43" t="n">
        <f aca="false">12</f>
        <v>12</v>
      </c>
      <c r="L17" s="43" t="n">
        <f aca="false">J17*K17</f>
        <v>580800</v>
      </c>
      <c r="Q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v>0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Q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v>10000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Q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v>0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Q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v>5000</v>
      </c>
      <c r="I21" s="43" t="s">
        <v>127</v>
      </c>
      <c r="J21" s="43" t="n">
        <v>60500</v>
      </c>
      <c r="K21" s="43" t="n">
        <v>0</v>
      </c>
      <c r="L21" s="43" t="n">
        <f aca="false">J21*K21</f>
        <v>0</v>
      </c>
      <c r="P21" s="21"/>
      <c r="Q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f aca="false">(E22/$E$29)*$K$11-393210</f>
        <v>-0.331999999820255</v>
      </c>
      <c r="I22" s="43" t="s">
        <v>130</v>
      </c>
      <c r="J22" s="43" t="n">
        <v>89100</v>
      </c>
      <c r="K22" s="43" t="n">
        <v>0</v>
      </c>
      <c r="L22" s="43" t="n">
        <f aca="false">J22*K22</f>
        <v>0</v>
      </c>
      <c r="P22" s="21"/>
      <c r="Q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910351.692</v>
      </c>
      <c r="I23" s="43" t="s">
        <v>133</v>
      </c>
      <c r="J23" s="43" t="n">
        <v>110000</v>
      </c>
      <c r="K23" s="43" t="n">
        <v>0</v>
      </c>
      <c r="L23" s="43" t="n">
        <f aca="false">J23*K23</f>
        <v>0</v>
      </c>
      <c r="P23" s="21"/>
      <c r="Q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0</v>
      </c>
      <c r="L24" s="43" t="n">
        <f aca="false">J24*K24</f>
        <v>0</v>
      </c>
      <c r="P24" s="21"/>
      <c r="Q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1" t="n">
        <f aca="false">+K16+K17+K18+K19+K20+K23+K24+K25+K26+K27</f>
        <v>12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P25" s="21"/>
      <c r="Q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0</v>
      </c>
      <c r="L26" s="43" t="n">
        <f aca="false">J26*K26</f>
        <v>0</v>
      </c>
      <c r="P26" s="21"/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1" t="n">
        <f aca="false">+K21+K22</f>
        <v>0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P27" s="21"/>
      <c r="Q27" s="58"/>
    </row>
    <row r="28" customFormat="false" ht="12.75" hidden="false" customHeight="false" outlineLevel="0" collapsed="false">
      <c r="K28" s="43" t="n">
        <f aca="false">SUM(K16:K27)</f>
        <v>12</v>
      </c>
      <c r="L28" s="43" t="n">
        <f aca="false">SUM(L16:L27)*1.2</f>
        <v>696960</v>
      </c>
      <c r="P28" s="21"/>
      <c r="Q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12</v>
      </c>
      <c r="L29" s="72" t="n">
        <v>0.2</v>
      </c>
      <c r="P29" s="21"/>
      <c r="Q29" s="58"/>
    </row>
    <row r="30" customFormat="false" ht="12.75" hidden="true" customHeight="false" outlineLevel="0" collapsed="false">
      <c r="L30" s="43" t="n">
        <f aca="false">L28*1.2</f>
        <v>836352</v>
      </c>
      <c r="P30" s="21"/>
      <c r="Q30" s="21"/>
    </row>
    <row r="31" customFormat="false" ht="12.75" hidden="true" customHeight="false" outlineLevel="0" collapsed="false">
      <c r="H31" s="16" t="s">
        <v>140</v>
      </c>
      <c r="L31" s="0"/>
      <c r="P31" s="21"/>
      <c r="Q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P32" s="21"/>
      <c r="Q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P33" s="21"/>
      <c r="Q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12</v>
      </c>
      <c r="L34" s="74" t="n">
        <f aca="false">+J34*K34</f>
        <v>579242.175</v>
      </c>
      <c r="P34" s="21"/>
      <c r="Q34" s="21"/>
    </row>
    <row r="35" customFormat="false" ht="12.75" hidden="true" customHeight="false" outlineLevel="0" collapsed="false">
      <c r="P35" s="21"/>
      <c r="Q35" s="21"/>
    </row>
    <row r="36" customFormat="false" ht="12.75" hidden="true" customHeight="false" outlineLevel="0" collapsed="false">
      <c r="P36" s="21"/>
      <c r="Q36" s="21"/>
    </row>
    <row r="37" customFormat="false" ht="12.75" hidden="true" customHeight="false" outlineLevel="0" collapsed="false">
      <c r="P37" s="21"/>
      <c r="Q37" s="21"/>
    </row>
    <row r="38" customFormat="false" ht="12.75" hidden="true" customHeight="false" outlineLevel="0" collapsed="false">
      <c r="P38" s="21"/>
      <c r="Q38" s="21"/>
    </row>
    <row r="39" customFormat="false" ht="12.75" hidden="false" customHeight="false" outlineLevel="0" collapsed="false">
      <c r="P39" s="21"/>
      <c r="Q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28" min="15" style="0" width="9.14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customFormat="false" ht="18" hidden="false" customHeight="false" outlineLevel="0" collapsed="false">
      <c r="B2" s="44" t="s">
        <v>213</v>
      </c>
      <c r="C2" s="44"/>
      <c r="D2" s="44"/>
      <c r="E2" s="44"/>
      <c r="F2" s="44"/>
      <c r="G2" s="44"/>
      <c r="H2" s="44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customFormat="false" ht="12.75" hidden="false" customHeight="false" outlineLevel="0" collapsed="false">
      <c r="J4" s="79"/>
      <c r="K4" s="80"/>
      <c r="L4" s="80"/>
      <c r="M4" s="81"/>
    </row>
    <row r="5" customFormat="false" ht="12.75" hidden="false" customHeight="false" outlineLevel="0" collapsed="false">
      <c r="J5" s="82"/>
      <c r="K5" s="21" t="s">
        <v>85</v>
      </c>
      <c r="L5" s="21" t="s">
        <v>86</v>
      </c>
      <c r="M5" s="8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F6" s="54" t="s">
        <v>90</v>
      </c>
      <c r="H6" s="84" t="s">
        <v>89</v>
      </c>
      <c r="J6" s="82"/>
      <c r="K6" s="21"/>
      <c r="L6" s="21"/>
      <c r="M6" s="83"/>
      <c r="O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 t="s">
        <v>94</v>
      </c>
      <c r="H7" s="84" t="s">
        <v>93</v>
      </c>
      <c r="J7" s="82"/>
      <c r="K7" s="21"/>
      <c r="L7" s="21"/>
      <c r="M7" s="8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58" t="n">
        <f aca="false">(C8/9)*12</f>
        <v>8854366.4</v>
      </c>
      <c r="F8" s="58" t="n">
        <f aca="false">M16+M17+M18+M19+M20+M23+M24+M26</f>
        <v>105600</v>
      </c>
      <c r="H8" s="85" t="n">
        <f aca="false">E8/$E$23</f>
        <v>0.43476545989392</v>
      </c>
      <c r="J8" s="82" t="s">
        <v>96</v>
      </c>
      <c r="K8" s="43" t="n">
        <v>0</v>
      </c>
      <c r="L8" s="21"/>
      <c r="M8" s="86" t="n">
        <f aca="false">M28*1.2</f>
        <v>126720</v>
      </c>
      <c r="O8" s="58" t="n">
        <f aca="false">+F8/$F$29*$O$29</f>
        <v>52800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58" t="n">
        <f aca="false">C9</f>
        <v>1460000</v>
      </c>
      <c r="F9" s="58"/>
      <c r="H9" s="85" t="n">
        <f aca="false">E9/$E$23</f>
        <v>0.0716886497316311</v>
      </c>
      <c r="J9" s="82"/>
      <c r="K9" s="21"/>
      <c r="L9" s="21"/>
      <c r="M9" s="83"/>
      <c r="O9" s="58" t="n">
        <f aca="false">+F9/$F$29*$O$29</f>
        <v>0</v>
      </c>
    </row>
    <row r="10" customFormat="false" ht="12.75" hidden="false" customHeight="false" outlineLevel="0" collapsed="false">
      <c r="A10" s="56"/>
      <c r="B10" s="57" t="s">
        <v>176</v>
      </c>
      <c r="C10" s="58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58" t="n">
        <f aca="false">(C10/9)*12</f>
        <v>3536680</v>
      </c>
      <c r="F10" s="58" t="n">
        <f aca="false">M21+M22</f>
        <v>0</v>
      </c>
      <c r="H10" s="85" t="n">
        <f aca="false">E10/$E$23</f>
        <v>0.173657406666346</v>
      </c>
      <c r="J10" s="82"/>
      <c r="K10" s="21"/>
      <c r="L10" s="21"/>
      <c r="M10" s="83"/>
      <c r="O10" s="58" t="n">
        <f aca="false">+F10/$F$29*$O$29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58" t="n">
        <f aca="false">(C11/9)*12</f>
        <v>2048457.94666667</v>
      </c>
      <c r="F11" s="58" t="n">
        <f aca="false">M28*0.2</f>
        <v>21120</v>
      </c>
      <c r="H11" s="85" t="n">
        <f aca="false">E11/$E$23</f>
        <v>0.100583002896276</v>
      </c>
      <c r="J11" s="82" t="s">
        <v>67</v>
      </c>
      <c r="K11" s="43" t="n">
        <f aca="false">(E12+E13+E14+E15+E16+E17+E18+E19+E20+E21+E22)/E29</f>
        <v>31676.1819007092</v>
      </c>
      <c r="L11" s="21" t="n">
        <f aca="false">L28</f>
        <v>2</v>
      </c>
      <c r="M11" s="86" t="n">
        <f aca="false">K11*L11</f>
        <v>63352.3638014184</v>
      </c>
      <c r="O11" s="58" t="n">
        <f aca="false">+F11/$F$29*$O$29</f>
        <v>10560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2" t="n">
        <f aca="false">(C12/9)*12*1.2</f>
        <v>890331.52</v>
      </c>
      <c r="F12" s="58" t="n">
        <f aca="false">E12/$E$29*$L$11</f>
        <v>12628.8158865248</v>
      </c>
      <c r="H12" s="85" t="n">
        <f aca="false">E12/$E$23</f>
        <v>0.0437168934810347</v>
      </c>
      <c r="J12" s="82"/>
      <c r="K12" s="21"/>
      <c r="L12" s="21"/>
      <c r="M12" s="83"/>
      <c r="O12" s="58" t="n">
        <f aca="false">+F12/$F$29*$O$29</f>
        <v>6314.40794326241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2" t="n">
        <f aca="false">(C13/9)*12*1.2</f>
        <v>1622984.656</v>
      </c>
      <c r="F13" s="58" t="n">
        <f aca="false">E13/$E$29*$L$11</f>
        <v>23021.0589503546</v>
      </c>
      <c r="H13" s="85" t="n">
        <f aca="false">E13/$E$23</f>
        <v>0.0796914921395861</v>
      </c>
      <c r="J13" s="87" t="s">
        <v>105</v>
      </c>
      <c r="K13" s="88"/>
      <c r="L13" s="88"/>
      <c r="M13" s="89" t="n">
        <f aca="false">M8+M11</f>
        <v>190072.363801418</v>
      </c>
      <c r="O13" s="58" t="n">
        <f aca="false">+F13/$F$29*$O$29</f>
        <v>11510.5294751773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2" t="n">
        <f aca="false">(C14/9)*12*1.2</f>
        <v>0.608000000193715</v>
      </c>
      <c r="F14" s="58" t="n">
        <f aca="false">E14/$E$29*$L$11</f>
        <v>0.00862411347792504</v>
      </c>
      <c r="H14" s="85" t="n">
        <f aca="false">E14/$E$23</f>
        <v>2.98539034593965E-008</v>
      </c>
      <c r="N14" s="60"/>
      <c r="O14" s="58" t="n">
        <f aca="false">+F14/$F$29*$O$29</f>
        <v>0.00431205673896252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2" t="n">
        <f aca="false">(C15/9)*12*1.2</f>
        <v>149163.408</v>
      </c>
      <c r="F15" s="58" t="n">
        <f aca="false">E15/$E$29*$L$11</f>
        <v>2115.7930212766</v>
      </c>
      <c r="H15" s="85" t="n">
        <f aca="false">E15/$E$23</f>
        <v>0.00732419404718382</v>
      </c>
      <c r="K15" s="43"/>
      <c r="O15" s="58" t="n">
        <f aca="false">+F15/$F$29*$O$29</f>
        <v>1057.8965106383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2" t="n">
        <f aca="false">(C16/9)*12*1.2</f>
        <v>0</v>
      </c>
      <c r="F16" s="58" t="n">
        <f aca="false">E16/$E$29*$L$11</f>
        <v>0</v>
      </c>
      <c r="H16" s="85" t="n">
        <f aca="false">E16/$E$23</f>
        <v>0</v>
      </c>
      <c r="J16" s="0" t="s">
        <v>177</v>
      </c>
      <c r="K16" s="43" t="n">
        <v>33600</v>
      </c>
      <c r="L16" s="0" t="n">
        <v>0</v>
      </c>
      <c r="M16" s="43" t="n">
        <f aca="false">K16*L16</f>
        <v>0</v>
      </c>
      <c r="O16" s="58" t="n">
        <f aca="false">+F16/$F$29*$O$29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2" t="n">
        <f aca="false">(C17/9)*12*1.2</f>
        <v>8480</v>
      </c>
      <c r="F17" s="58" t="n">
        <f aca="false">E17/$E$29*$L$11</f>
        <v>120.283687943262</v>
      </c>
      <c r="H17" s="85" t="n">
        <f aca="false">E17/$E$23</f>
        <v>0.000416383390222076</v>
      </c>
      <c r="J17" s="0" t="s">
        <v>115</v>
      </c>
      <c r="K17" s="43" t="n">
        <v>52800</v>
      </c>
      <c r="L17" s="0" t="n">
        <v>2</v>
      </c>
      <c r="M17" s="43" t="n">
        <f aca="false">K17*L17</f>
        <v>105600</v>
      </c>
      <c r="O17" s="58" t="n">
        <f aca="false">+F17/$F$29*$O$29</f>
        <v>60.1418439716312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2" t="n">
        <f aca="false">(C18/9)*12*1.2</f>
        <v>459.663999999995</v>
      </c>
      <c r="F18" s="58" t="n">
        <f aca="false">E18/$E$29*$L$11</f>
        <v>6.52005673758857</v>
      </c>
      <c r="H18" s="85" t="n">
        <f aca="false">E18/$E$23</f>
        <v>2.25703366371507E-005</v>
      </c>
      <c r="J18" s="0" t="s">
        <v>118</v>
      </c>
      <c r="K18" s="43" t="n">
        <v>54000</v>
      </c>
      <c r="L18" s="0" t="n">
        <v>0</v>
      </c>
      <c r="M18" s="43" t="n">
        <f aca="false">K18*L18</f>
        <v>0</v>
      </c>
      <c r="O18" s="58" t="n">
        <f aca="false">+F18/$F$29*$O$29</f>
        <v>3.26002836879429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2" t="n">
        <f aca="false">(C19/9)*12*1.2</f>
        <v>779438.72</v>
      </c>
      <c r="F19" s="58" t="n">
        <f aca="false">E19/$E$29*$L$11</f>
        <v>11055.8683687943</v>
      </c>
      <c r="H19" s="85" t="n">
        <f aca="false">E19/$E$23</f>
        <v>0.038271855743391</v>
      </c>
      <c r="J19" s="0" t="s">
        <v>121</v>
      </c>
      <c r="K19" s="43" t="n">
        <v>63000</v>
      </c>
      <c r="L19" s="0" t="n">
        <v>0</v>
      </c>
      <c r="M19" s="43" t="n">
        <f aca="false">K19*L19</f>
        <v>0</v>
      </c>
      <c r="O19" s="58" t="n">
        <f aca="false">+F19/$F$29*$O$29</f>
        <v>5527.93418439716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2" t="n">
        <f aca="false">(C20/9)*12*1.2</f>
        <v>125.088</v>
      </c>
      <c r="F20" s="58" t="n">
        <f aca="false">E20/$E$29*$L$11</f>
        <v>1.77429787234043</v>
      </c>
      <c r="H20" s="85" t="n">
        <f aca="false">E20/$E$23</f>
        <v>6.1420478202947E-006</v>
      </c>
      <c r="J20" s="0" t="s">
        <v>124</v>
      </c>
      <c r="K20" s="43" t="n">
        <v>78000</v>
      </c>
      <c r="L20" s="0" t="n">
        <v>0</v>
      </c>
      <c r="M20" s="43" t="n">
        <f aca="false">K20*L20</f>
        <v>0</v>
      </c>
      <c r="O20" s="58" t="n">
        <f aca="false">+F20/$F$29*$O$29</f>
        <v>0.887148936170213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2" t="n">
        <f aca="false">(C21/9)*12*1.2</f>
        <v>1013453.6</v>
      </c>
      <c r="F21" s="58" t="n">
        <f aca="false">E21/$E$29*$L$11</f>
        <v>14375.2283687943</v>
      </c>
      <c r="H21" s="85" t="n">
        <f aca="false">E21/$E$23</f>
        <v>0.0497624110614113</v>
      </c>
      <c r="J21" s="0" t="s">
        <v>127</v>
      </c>
      <c r="K21" s="43" t="n">
        <v>66000</v>
      </c>
      <c r="L21" s="0" t="n">
        <v>0</v>
      </c>
      <c r="M21" s="43" t="n">
        <f aca="false">K21*L21</f>
        <v>0</v>
      </c>
      <c r="O21" s="58" t="n">
        <f aca="false">+F21/$F$29*$O$29</f>
        <v>7187.61418439716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2" t="n">
        <f aca="false">(C22/9)*12*1.2</f>
        <v>1904.384</v>
      </c>
      <c r="F22" s="58" t="n">
        <f aca="false">E22/$E$29*$L$11</f>
        <v>27.0125390070922</v>
      </c>
      <c r="H22" s="85" t="n">
        <f aca="false">E22/$E$23</f>
        <v>9.35087106373442E-005</v>
      </c>
      <c r="J22" s="0" t="s">
        <v>130</v>
      </c>
      <c r="K22" s="43" t="n">
        <v>97200</v>
      </c>
      <c r="L22" s="0" t="n">
        <v>0</v>
      </c>
      <c r="M22" s="43" t="n">
        <f aca="false">K22*L22</f>
        <v>0</v>
      </c>
      <c r="O22" s="58" t="n">
        <f aca="false">+F22/$F$29*$O$29</f>
        <v>13.5062695035461</v>
      </c>
    </row>
    <row r="23" customFormat="false" ht="13.5" hidden="false" customHeight="false" outlineLevel="0" collapsed="false">
      <c r="A23" s="66" t="s">
        <v>131</v>
      </c>
      <c r="B23" s="67" t="s">
        <v>132</v>
      </c>
      <c r="C23" s="68" t="n">
        <f aca="false">SUM(C8:C22)</f>
        <v>15081091.79</v>
      </c>
      <c r="E23" s="68" t="n">
        <f aca="false">SUM(E8:E22)</f>
        <v>20365845.9946667</v>
      </c>
      <c r="F23" s="90" t="n">
        <f aca="false">SUM(F8:F22)</f>
        <v>190072.363801418</v>
      </c>
      <c r="H23" s="91" t="n">
        <f aca="false">SUM(H8:H22)</f>
        <v>1</v>
      </c>
      <c r="J23" s="0" t="s">
        <v>133</v>
      </c>
      <c r="K23" s="43" t="n">
        <v>120000</v>
      </c>
      <c r="L23" s="0" t="n">
        <v>0</v>
      </c>
      <c r="M23" s="43" t="n">
        <f aca="false">K23*L23</f>
        <v>0</v>
      </c>
      <c r="O23" s="90" t="n">
        <f aca="false">SUM(O8:O22)</f>
        <v>95036.1819007092</v>
      </c>
    </row>
    <row r="24" customFormat="false" ht="12.75" hidden="false" customHeight="false" outlineLevel="0" collapsed="false">
      <c r="J24" s="0" t="s">
        <v>134</v>
      </c>
      <c r="K24" s="43" t="n">
        <v>156000</v>
      </c>
      <c r="L24" s="0" t="n">
        <v>0</v>
      </c>
      <c r="M24" s="43" t="n">
        <f aca="false">K24*L24</f>
        <v>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1" t="n">
        <f aca="false">SUM(L16:L20,L23:L27)</f>
        <v>2</v>
      </c>
      <c r="J25" s="0" t="s">
        <v>135</v>
      </c>
      <c r="K25" s="43" t="n">
        <v>180000</v>
      </c>
      <c r="L25" s="0" t="n">
        <v>0</v>
      </c>
      <c r="M25" s="43" t="n">
        <f aca="false">K25*L25</f>
        <v>0</v>
      </c>
      <c r="O25" s="71" t="n">
        <f aca="false">SUM(U16:U20,U23:U27)</f>
        <v>0</v>
      </c>
    </row>
    <row r="26" customFormat="false" ht="12.75" hidden="false" customHeight="false" outlineLevel="0" collapsed="false">
      <c r="C26" s="58"/>
      <c r="E26" s="58"/>
      <c r="F26" s="58"/>
      <c r="J26" s="0" t="s">
        <v>136</v>
      </c>
      <c r="K26" s="43" t="n">
        <v>216000</v>
      </c>
      <c r="L26" s="0" t="n">
        <v>0</v>
      </c>
      <c r="M26" s="43" t="n">
        <f aca="false">K26*L26</f>
        <v>0</v>
      </c>
      <c r="O26" s="58"/>
    </row>
    <row r="27" customFormat="false" ht="12.75" hidden="false" customHeight="false" outlineLevel="0" collapsed="false">
      <c r="B27" s="67" t="s">
        <v>178</v>
      </c>
      <c r="C27" s="58"/>
      <c r="E27" s="71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1" t="n">
        <f aca="false">SUM(L21:L22)</f>
        <v>0</v>
      </c>
      <c r="J27" s="0" t="s">
        <v>138</v>
      </c>
      <c r="K27" s="43" t="n">
        <v>240000</v>
      </c>
      <c r="L27" s="0" t="n">
        <v>0</v>
      </c>
      <c r="M27" s="43" t="n">
        <f aca="false">K27*L27</f>
        <v>0</v>
      </c>
      <c r="O27" s="71" t="n">
        <f aca="false">SUM(U21:U22)</f>
        <v>0</v>
      </c>
    </row>
    <row r="28" customFormat="false" ht="12.75" hidden="false" customHeight="false" outlineLevel="0" collapsed="false">
      <c r="B28" s="67"/>
      <c r="L28" s="0" t="n">
        <f aca="false">SUM(L16:L27)</f>
        <v>2</v>
      </c>
      <c r="M28" s="43" t="n">
        <f aca="false">SUM(M16:M27)</f>
        <v>105600</v>
      </c>
    </row>
    <row r="29" customFormat="false" ht="12.75" hidden="false" customHeight="false" outlineLevel="0" collapsed="false">
      <c r="B29" s="67" t="s">
        <v>139</v>
      </c>
      <c r="E29" s="92" t="n">
        <f aca="false">SUM(E25:E27)</f>
        <v>141</v>
      </c>
      <c r="F29" s="71" t="n">
        <f aca="false">SUM(F25:F27)</f>
        <v>2</v>
      </c>
      <c r="H29" s="43"/>
      <c r="O29" s="71" t="n">
        <v>1</v>
      </c>
    </row>
    <row r="31" customFormat="false" ht="12.75" hidden="false" customHeight="false" outlineLevel="0" collapsed="false">
      <c r="I31" s="16" t="s">
        <v>140</v>
      </c>
      <c r="J31" s="43"/>
      <c r="K31" s="43"/>
      <c r="L31" s="43"/>
    </row>
    <row r="32" customFormat="false" ht="12.75" hidden="true" customHeight="false" outlineLevel="0" collapsed="false">
      <c r="B32" s="57" t="s">
        <v>107</v>
      </c>
      <c r="C32" s="58" t="n">
        <v>524067</v>
      </c>
      <c r="J32" s="43"/>
      <c r="K32" s="43"/>
      <c r="L32" s="43"/>
    </row>
    <row r="33" customFormat="false" ht="12.75" hidden="false" customHeight="false" outlineLevel="0" collapsed="false">
      <c r="I33" s="73" t="s">
        <v>141</v>
      </c>
      <c r="J33" s="74" t="s">
        <v>142</v>
      </c>
      <c r="K33" s="74" t="s">
        <v>143</v>
      </c>
      <c r="L33" s="74" t="s">
        <v>86</v>
      </c>
      <c r="M33" s="74" t="s">
        <v>144</v>
      </c>
    </row>
    <row r="34" customFormat="false" ht="12.75" hidden="false" customHeight="false" outlineLevel="0" collapsed="false">
      <c r="I34" s="75" t="n">
        <f aca="false">SUM(E12:E22)</f>
        <v>4466341.648</v>
      </c>
      <c r="J34" s="74" t="n">
        <f aca="false">+E29</f>
        <v>141</v>
      </c>
      <c r="K34" s="74" t="n">
        <f aca="false">+I34/J34</f>
        <v>31676.1819007092</v>
      </c>
      <c r="L34" s="74" t="n">
        <f aca="false">+L11</f>
        <v>2</v>
      </c>
      <c r="M34" s="74" t="n">
        <f aca="false">+K34*L34</f>
        <v>63352.3638014184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4.14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16" min="16" style="0" width="17.99"/>
    <col collapsed="false" customWidth="true" hidden="true" outlineLevel="0" max="17" min="17" style="0" width="24.13"/>
    <col collapsed="false" customWidth="false" hidden="true" outlineLevel="0" max="18" min="18" style="0" width="9.06"/>
  </cols>
  <sheetData>
    <row r="1" customFormat="false" ht="18" hidden="false" customHeight="false" outlineLevel="0" collapsed="false">
      <c r="B1" s="44" t="str">
        <f aca="false">'[6]Team Report'!B1</f>
        <v>Enron North America</v>
      </c>
      <c r="C1" s="44"/>
      <c r="D1" s="44"/>
      <c r="E1" s="44"/>
      <c r="F1" s="44"/>
      <c r="G1" s="44"/>
      <c r="H1" s="44"/>
      <c r="I1" s="44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</row>
    <row r="2" customFormat="false" ht="18" hidden="false" customHeight="false" outlineLevel="0" collapsed="false">
      <c r="B2" s="44" t="s">
        <v>214</v>
      </c>
      <c r="C2" s="44"/>
      <c r="D2" s="44"/>
      <c r="E2" s="44"/>
      <c r="F2" s="44"/>
      <c r="G2" s="44"/>
      <c r="H2" s="44"/>
      <c r="I2" s="44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</row>
    <row r="3" customFormat="false" ht="18.75" hidden="false" customHeight="false" outlineLevel="0" collapsed="false">
      <c r="B3" s="93" t="s">
        <v>5</v>
      </c>
      <c r="C3" s="93"/>
      <c r="D3" s="93"/>
      <c r="E3" s="93"/>
      <c r="F3" s="93"/>
      <c r="G3" s="93"/>
      <c r="H3" s="93"/>
      <c r="I3" s="93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customFormat="false" ht="12.75" hidden="false" customHeight="false" outlineLevel="0" collapsed="false">
      <c r="K4" s="79"/>
      <c r="L4" s="80"/>
      <c r="M4" s="80"/>
      <c r="N4" s="81"/>
    </row>
    <row r="5" customFormat="false" ht="12.75" hidden="false" customHeight="false" outlineLevel="0" collapsed="false">
      <c r="K5" s="82"/>
      <c r="L5" s="21" t="s">
        <v>85</v>
      </c>
      <c r="M5" s="21" t="s">
        <v>86</v>
      </c>
      <c r="N5" s="83" t="s">
        <v>87</v>
      </c>
    </row>
    <row r="6" customFormat="false" ht="12.75" hidden="false" customHeight="false" outlineLevel="0" collapsed="false">
      <c r="C6" s="54" t="n">
        <v>37135</v>
      </c>
      <c r="E6" s="94" t="n">
        <v>2001</v>
      </c>
      <c r="F6" s="54"/>
      <c r="G6" s="94" t="n">
        <v>2002</v>
      </c>
      <c r="H6" s="54"/>
      <c r="I6" s="54" t="s">
        <v>180</v>
      </c>
      <c r="K6" s="82"/>
      <c r="L6" s="21"/>
      <c r="M6" s="21"/>
      <c r="N6" s="83"/>
      <c r="O6" s="94" t="n">
        <v>2002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/>
      <c r="G7" s="55" t="s">
        <v>94</v>
      </c>
      <c r="H7" s="55"/>
      <c r="I7" s="55" t="s">
        <v>181</v>
      </c>
      <c r="K7" s="82"/>
      <c r="L7" s="21"/>
      <c r="M7" s="21"/>
      <c r="N7" s="8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'[7]Executive Orig'!C8+[7]Trading!C8+[7]Origination!C8+'[7]Mid Market'!C8+[7]Services!C8+[7]Fundamentals!C8</f>
        <v>4789958.99</v>
      </c>
      <c r="E8" s="58" t="n">
        <f aca="false">(C8/9)*12</f>
        <v>6386611.98666667</v>
      </c>
      <c r="F8" s="58"/>
      <c r="G8" s="58" t="n">
        <f aca="false">SUM(N16:N20,N23:N27)</f>
        <v>297600</v>
      </c>
      <c r="H8" s="58"/>
      <c r="I8" s="85" t="n">
        <f aca="false">+G8/$G$23</f>
        <v>0.649829283990232</v>
      </c>
      <c r="K8" s="82" t="s">
        <v>96</v>
      </c>
      <c r="L8" s="43" t="n">
        <v>0</v>
      </c>
      <c r="M8" s="21" t="n">
        <v>64</v>
      </c>
      <c r="N8" s="86" t="n">
        <f aca="false">N28</f>
        <v>357120</v>
      </c>
      <c r="O8" s="58" t="n">
        <f aca="false">+G8/$G$29*$O$29</f>
        <v>49600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'[7]Executive Orig'!C9+[7]Trading!C9+[7]Origination!C9+'[7]Mid Market'!C9+[7]Services!C9+[7]Fundamentals!C9</f>
        <v>1464000</v>
      </c>
      <c r="E9" s="58" t="n">
        <f aca="false">+C9</f>
        <v>1464000</v>
      </c>
      <c r="F9" s="58"/>
      <c r="G9" s="58"/>
      <c r="H9" s="58"/>
      <c r="I9" s="85" t="n">
        <f aca="false">+G9/$G$23</f>
        <v>0</v>
      </c>
      <c r="K9" s="82"/>
      <c r="L9" s="21"/>
      <c r="M9" s="21"/>
      <c r="N9" s="83"/>
      <c r="O9" s="58" t="n">
        <f aca="false">+G9/$G$29*$O$29</f>
        <v>0</v>
      </c>
    </row>
    <row r="10" customFormat="false" ht="12.75" hidden="false" customHeight="false" outlineLevel="0" collapsed="false">
      <c r="B10" s="57" t="s">
        <v>176</v>
      </c>
      <c r="C10" s="58" t="n">
        <f aca="false">'[7]Executive Orig'!C10+[7]Trading!C10+[7]Origination!C10+'[7]Mid Market'!C10+[7]Services!C10+[7]Fundamentals!C10</f>
        <v>804567</v>
      </c>
      <c r="E10" s="58" t="n">
        <f aca="false">(C10/9)*12</f>
        <v>1072756</v>
      </c>
      <c r="F10" s="58"/>
      <c r="G10" s="58" t="n">
        <f aca="false">+N21+N22</f>
        <v>0</v>
      </c>
      <c r="H10" s="58"/>
      <c r="I10" s="85" t="n">
        <f aca="false">+G10/$G$23</f>
        <v>0</v>
      </c>
      <c r="K10" s="82"/>
      <c r="L10" s="21"/>
      <c r="M10" s="21"/>
      <c r="N10" s="83"/>
      <c r="O10" s="58" t="n">
        <f aca="false">+G10/$G$29*$O$29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'[7]Executive Orig'!C11+[7]Trading!C11+[7]Origination!C11+'[7]Mid Market'!C11+[7]Services!C11+[7]Fundamentals!C11</f>
        <v>1096068.21</v>
      </c>
      <c r="E11" s="58" t="n">
        <f aca="false">(C11/9)*12</f>
        <v>1461424.28</v>
      </c>
      <c r="F11" s="58"/>
      <c r="G11" s="58" t="n">
        <f aca="false">+G8*0.2+(N21+N22)*0.2</f>
        <v>59520</v>
      </c>
      <c r="H11" s="58"/>
      <c r="I11" s="85" t="n">
        <f aca="false">+G11/$G$23</f>
        <v>0.129965856798046</v>
      </c>
      <c r="K11" s="82" t="s">
        <v>67</v>
      </c>
      <c r="L11" s="74" t="n">
        <f aca="false">(E12+E13+E14+E15+E16+E17+E18+E19+E20+E21+E22)/E29</f>
        <v>47533.8552808989</v>
      </c>
      <c r="M11" s="21" t="n">
        <f aca="false">M28</f>
        <v>6</v>
      </c>
      <c r="N11" s="86" t="n">
        <f aca="false">L11*M11</f>
        <v>285203.131685393</v>
      </c>
      <c r="O11" s="58" t="n">
        <f aca="false">+G11/$G$29*$O$29</f>
        <v>9920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'[7]Executive Orig'!C12+[7]Trading!C12+[7]Origination!C12+'[7]Mid Market'!C12+[7]Services!C12+[7]Fundamentals!C12</f>
        <v>658117.68</v>
      </c>
      <c r="E12" s="62" t="n">
        <f aca="false">((C12/9)*12)*1.2</f>
        <v>1052988.288</v>
      </c>
      <c r="F12" s="58"/>
      <c r="G12" s="58" t="n">
        <v>10000</v>
      </c>
      <c r="H12" s="58"/>
      <c r="I12" s="85" t="n">
        <f aca="false">+G12/$G$23</f>
        <v>0.0218356614244029</v>
      </c>
      <c r="K12" s="82"/>
      <c r="L12" s="21"/>
      <c r="M12" s="21"/>
      <c r="N12" s="83"/>
      <c r="O12" s="58" t="n">
        <f aca="false">+G12/$G$29*$O$29</f>
        <v>1666.66666666667</v>
      </c>
      <c r="P12" s="61"/>
      <c r="Q12" s="61"/>
      <c r="R12" s="61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'[7]Executive Orig'!C13+[7]Trading!C13+[7]Origination!C13+'[7]Mid Market'!C13+[7]Services!C13+[7]Fundamentals!C13</f>
        <v>719773.8</v>
      </c>
      <c r="E13" s="62" t="n">
        <f aca="false">((C13/9)*12)*1.2</f>
        <v>1151638.08</v>
      </c>
      <c r="F13" s="58"/>
      <c r="G13" s="58" t="n">
        <v>10000</v>
      </c>
      <c r="H13" s="58"/>
      <c r="I13" s="85" t="n">
        <f aca="false">+G13/$G$23</f>
        <v>0.0218356614244029</v>
      </c>
      <c r="K13" s="87" t="s">
        <v>105</v>
      </c>
      <c r="L13" s="88"/>
      <c r="M13" s="88"/>
      <c r="N13" s="89" t="n">
        <f aca="false">N8+N11</f>
        <v>642323.131685393</v>
      </c>
      <c r="O13" s="58" t="n">
        <f aca="false">+G13/$G$29*$O$29</f>
        <v>1666.66666666667</v>
      </c>
      <c r="P13" s="61"/>
      <c r="Q13" s="61"/>
      <c r="R13" s="61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'[7]Executive Orig'!C14+[7]Trading!C14+[7]Origination!C14+'[7]Mid Market'!C14+[7]Services!C14+[7]Fundamentals!C14-C32</f>
        <v>0.239999999757856</v>
      </c>
      <c r="E14" s="62" t="n">
        <f aca="false">((C14/9)*12)*1.2</f>
        <v>0.38399999961257</v>
      </c>
      <c r="F14" s="58"/>
      <c r="G14" s="58" t="n">
        <v>40000</v>
      </c>
      <c r="H14" s="58"/>
      <c r="I14" s="85" t="n">
        <f aca="false">+G14/$G$23</f>
        <v>0.0873426456976118</v>
      </c>
      <c r="O14" s="58" t="n">
        <f aca="false">+G14/$G$29*$O$29</f>
        <v>6666.66666666667</v>
      </c>
      <c r="P14" s="61"/>
      <c r="Q14" s="61"/>
      <c r="R14" s="61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'[7]Executive Orig'!C15+[7]Trading!C15+[7]Origination!C15+'[7]Mid Market'!C15+[7]Services!C15+[7]Fundamentals!C15</f>
        <v>128890.14</v>
      </c>
      <c r="E15" s="62" t="n">
        <f aca="false">((C15/9)*12)*1.2</f>
        <v>206224.224</v>
      </c>
      <c r="F15" s="58"/>
      <c r="G15" s="58" t="n">
        <v>17280</v>
      </c>
      <c r="H15" s="58"/>
      <c r="I15" s="85" t="n">
        <f aca="false">+G15/$G$23</f>
        <v>0.0377320229413683</v>
      </c>
      <c r="O15" s="58" t="n">
        <f aca="false">+G15/$G$29*$O$29</f>
        <v>2880</v>
      </c>
      <c r="P15" s="61"/>
      <c r="Q15" s="61"/>
      <c r="R15" s="61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'[7]Executive Orig'!C16+[7]Trading!C16+[7]Origination!C16+'[7]Mid Market'!C16+[7]Services!C16+[7]Fundamentals!C16</f>
        <v>0</v>
      </c>
      <c r="E16" s="62" t="n">
        <f aca="false">((C16/9)*12)*1.2</f>
        <v>0</v>
      </c>
      <c r="F16" s="58"/>
      <c r="G16" s="58" t="n">
        <f aca="false">+E16/$E$29*$M$11</f>
        <v>0</v>
      </c>
      <c r="H16" s="58"/>
      <c r="I16" s="85" t="n">
        <f aca="false">+G16/$G$23</f>
        <v>0</v>
      </c>
      <c r="K16" s="0" t="s">
        <v>177</v>
      </c>
      <c r="L16" s="43" t="n">
        <v>33600</v>
      </c>
      <c r="M16" s="0" t="n">
        <v>1</v>
      </c>
      <c r="N16" s="43" t="n">
        <f aca="false">L16*M16</f>
        <v>33600</v>
      </c>
      <c r="O16" s="58" t="n">
        <f aca="false">+G16/$G$29*$O$29</f>
        <v>0</v>
      </c>
      <c r="P16" s="61"/>
      <c r="Q16" s="61"/>
      <c r="R16" s="61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'[7]Executive Orig'!C17+[7]Trading!C17+[7]Origination!C17+'[7]Mid Market'!C17+[7]Services!C17+[7]Fundamentals!C17</f>
        <v>11300</v>
      </c>
      <c r="E17" s="62" t="n">
        <f aca="false">((C17/9)*12)*1.2</f>
        <v>18080</v>
      </c>
      <c r="F17" s="58"/>
      <c r="G17" s="58" t="n">
        <v>0</v>
      </c>
      <c r="H17" s="58"/>
      <c r="I17" s="85" t="n">
        <f aca="false">+G17/$G$23</f>
        <v>0</v>
      </c>
      <c r="K17" s="0" t="s">
        <v>115</v>
      </c>
      <c r="L17" s="43" t="n">
        <v>52800</v>
      </c>
      <c r="M17" s="0" t="n">
        <f aca="false">5</f>
        <v>5</v>
      </c>
      <c r="N17" s="43" t="n">
        <f aca="false">L17*M17</f>
        <v>264000</v>
      </c>
      <c r="O17" s="58" t="n">
        <f aca="false">+G17/$G$29*$O$29</f>
        <v>0</v>
      </c>
      <c r="P17" s="61"/>
      <c r="Q17" s="61"/>
      <c r="R17" s="61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'[7]Executive Orig'!C18+[7]Trading!C18+[7]Origination!C18+'[7]Mid Market'!C18+[7]Services!C18+[7]Fundamentals!C18</f>
        <v>327447.74</v>
      </c>
      <c r="E18" s="62" t="n">
        <f aca="false">((C18/9)*12)*1.2</f>
        <v>523916.384</v>
      </c>
      <c r="F18" s="58"/>
      <c r="G18" s="58" t="n">
        <f aca="false">+(75*12*6)</f>
        <v>5400</v>
      </c>
      <c r="H18" s="58"/>
      <c r="I18" s="85" t="n">
        <f aca="false">+G18/$G$23</f>
        <v>0.0117912571691776</v>
      </c>
      <c r="K18" s="0" t="s">
        <v>118</v>
      </c>
      <c r="L18" s="43" t="n">
        <v>54000</v>
      </c>
      <c r="M18" s="0" t="n">
        <v>0</v>
      </c>
      <c r="N18" s="43" t="n">
        <f aca="false">L18*M18</f>
        <v>0</v>
      </c>
      <c r="O18" s="58" t="n">
        <f aca="false">+G18/$G$29*$O$29</f>
        <v>900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'[7]Executive Orig'!C19+[7]Trading!C19+[7]Origination!C19+'[7]Mid Market'!C19+[7]Services!C19+[7]Fundamentals!C19</f>
        <v>155845.37</v>
      </c>
      <c r="E19" s="62" t="n">
        <f aca="false">((C19/9)*12)*1.2</f>
        <v>249352.592</v>
      </c>
      <c r="F19" s="58"/>
      <c r="G19" s="58" t="n">
        <v>5000</v>
      </c>
      <c r="H19" s="58"/>
      <c r="I19" s="85" t="n">
        <f aca="false">+G19/$G$23</f>
        <v>0.0109178307122015</v>
      </c>
      <c r="K19" s="0" t="s">
        <v>121</v>
      </c>
      <c r="L19" s="43" t="n">
        <v>63000</v>
      </c>
      <c r="M19" s="0" t="n">
        <v>0</v>
      </c>
      <c r="N19" s="43" t="n">
        <f aca="false">L19*M19</f>
        <v>0</v>
      </c>
      <c r="O19" s="58" t="n">
        <f aca="false">+G19/$G$29*$O$29</f>
        <v>833.333333333333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'[7]Executive Orig'!C20+[7]Trading!C20+[7]Origination!C20+'[7]Mid Market'!C20+[7]Services!C20+[7]Fundamentals!C20</f>
        <v>116.15</v>
      </c>
      <c r="E20" s="62" t="n">
        <f aca="false">((C20/9)*12)*1.2</f>
        <v>185.84</v>
      </c>
      <c r="F20" s="58"/>
      <c r="G20" s="58" t="n">
        <v>0</v>
      </c>
      <c r="H20" s="58"/>
      <c r="I20" s="85" t="n">
        <f aca="false">+G20/$G$23</f>
        <v>0</v>
      </c>
      <c r="K20" s="0" t="s">
        <v>124</v>
      </c>
      <c r="L20" s="43" t="n">
        <v>78000</v>
      </c>
      <c r="M20" s="0" t="n">
        <v>0</v>
      </c>
      <c r="N20" s="43" t="n">
        <f aca="false">L20*M20</f>
        <v>0</v>
      </c>
      <c r="O20" s="58" t="n">
        <f aca="false">+G20/$G$29*$O$29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'[7]Executive Orig'!C21+[7]Trading!C21+[7]Origination!C21+'[7]Mid Market'!C21+[7]Services!C21+[7]Fundamentals!C21</f>
        <v>566869.93</v>
      </c>
      <c r="E21" s="62" t="n">
        <f aca="false">((C21/9)*12)*1.2</f>
        <v>906991.888</v>
      </c>
      <c r="F21" s="58"/>
      <c r="G21" s="58" t="n">
        <v>5000</v>
      </c>
      <c r="H21" s="58"/>
      <c r="I21" s="85" t="n">
        <f aca="false">+G21/$G$23</f>
        <v>0.0109178307122015</v>
      </c>
      <c r="K21" s="0" t="s">
        <v>127</v>
      </c>
      <c r="L21" s="43" t="n">
        <v>66000</v>
      </c>
      <c r="M21" s="0" t="n">
        <v>0</v>
      </c>
      <c r="N21" s="43" t="n">
        <f aca="false">L21*M21</f>
        <v>0</v>
      </c>
      <c r="O21" s="58" t="n">
        <f aca="false">+G21/$G$29*$O$29</f>
        <v>833.333333333333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'[7]Executive Orig'!C22+[7]Trading!C22+[7]Origination!C22+'[7]Mid Market'!C22+[7]Services!C22+[7]Fundamentals!C22</f>
        <v>75709.65</v>
      </c>
      <c r="E22" s="62" t="n">
        <f aca="false">((C22/9)*12)*1.2</f>
        <v>121135.44</v>
      </c>
      <c r="F22" s="58"/>
      <c r="G22" s="58" t="n">
        <f aca="false">+E22/$E$29*$M$11</f>
        <v>8166.43415730337</v>
      </c>
      <c r="H22" s="58"/>
      <c r="I22" s="85" t="n">
        <f aca="false">+G22/$G$23</f>
        <v>0.0178319491303556</v>
      </c>
      <c r="K22" s="0" t="s">
        <v>130</v>
      </c>
      <c r="L22" s="43" t="n">
        <v>97200</v>
      </c>
      <c r="M22" s="0" t="n">
        <v>0</v>
      </c>
      <c r="N22" s="43" t="n">
        <f aca="false">L22*M22</f>
        <v>0</v>
      </c>
      <c r="O22" s="58" t="n">
        <f aca="false">+G22/$G$29*$O$29</f>
        <v>1361.07235955056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10798664.9</v>
      </c>
      <c r="E23" s="68" t="n">
        <f aca="false">SUM(E8:E22)</f>
        <v>14615305.3866667</v>
      </c>
      <c r="F23" s="70"/>
      <c r="G23" s="68" t="n">
        <f aca="false">SUM(G8:G22)</f>
        <v>457966.434157303</v>
      </c>
      <c r="H23" s="70"/>
      <c r="I23" s="91" t="n">
        <f aca="false">SUM(I8:I22)</f>
        <v>1</v>
      </c>
      <c r="K23" s="0" t="s">
        <v>133</v>
      </c>
      <c r="L23" s="43" t="n">
        <v>120000</v>
      </c>
      <c r="M23" s="0" t="n">
        <v>0</v>
      </c>
      <c r="N23" s="43" t="n">
        <f aca="false">L23*M23</f>
        <v>0</v>
      </c>
      <c r="O23" s="68" t="n">
        <f aca="false">SUM(O8:O22)</f>
        <v>76327.7390262172</v>
      </c>
    </row>
    <row r="24" customFormat="false" ht="12.75" hidden="false" customHeight="false" outlineLevel="0" collapsed="false">
      <c r="K24" s="0" t="s">
        <v>134</v>
      </c>
      <c r="L24" s="43" t="n">
        <v>156000</v>
      </c>
      <c r="M24" s="0" t="n">
        <v>0</v>
      </c>
      <c r="N24" s="43" t="n">
        <f aca="false">L24*M24</f>
        <v>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'[7]Executive Orig'!E25+[7]Trading!E25+[7]Origination!E25+'[7]Mid Market'!E25+[7]Services!E25+[7]Fundamentals!E25</f>
        <v>74</v>
      </c>
      <c r="F25" s="58"/>
      <c r="G25" s="71" t="n">
        <f aca="false">SUM(M16:M20,M23:M27)</f>
        <v>6</v>
      </c>
      <c r="H25" s="58"/>
      <c r="K25" s="0" t="s">
        <v>135</v>
      </c>
      <c r="L25" s="43" t="n">
        <v>180000</v>
      </c>
      <c r="M25" s="0" t="n">
        <v>0</v>
      </c>
      <c r="N25" s="43" t="n">
        <f aca="false">L25*M25</f>
        <v>0</v>
      </c>
      <c r="O25" s="71" t="n">
        <f aca="false">SUM(U16:U20,U23:U27)</f>
        <v>0</v>
      </c>
    </row>
    <row r="26" customFormat="false" ht="12.75" hidden="false" customHeight="false" outlineLevel="0" collapsed="false">
      <c r="C26" s="58"/>
      <c r="E26" s="58"/>
      <c r="F26" s="58"/>
      <c r="G26" s="58"/>
      <c r="H26" s="58"/>
      <c r="K26" s="0" t="s">
        <v>136</v>
      </c>
      <c r="L26" s="43" t="n">
        <v>216000</v>
      </c>
      <c r="M26" s="0" t="n">
        <v>0</v>
      </c>
      <c r="N26" s="43" t="n">
        <f aca="false">L26*M26</f>
        <v>0</v>
      </c>
      <c r="O26" s="58"/>
    </row>
    <row r="27" customFormat="false" ht="12.75" hidden="false" customHeight="false" outlineLevel="0" collapsed="false">
      <c r="B27" s="67" t="s">
        <v>178</v>
      </c>
      <c r="C27" s="58"/>
      <c r="E27" s="71" t="n">
        <f aca="false">'[7]Executive Orig'!E27+[7]Trading!E27+[7]Origination!E27+'[7]Mid Market'!E27+[7]Services!E27+[7]Fundamentals!E27</f>
        <v>15</v>
      </c>
      <c r="F27" s="58"/>
      <c r="G27" s="71" t="n">
        <f aca="false">+M21+M22</f>
        <v>0</v>
      </c>
      <c r="H27" s="58"/>
      <c r="K27" s="0" t="s">
        <v>138</v>
      </c>
      <c r="L27" s="43" t="n">
        <v>240000</v>
      </c>
      <c r="M27" s="0" t="n">
        <v>0</v>
      </c>
      <c r="N27" s="43" t="n">
        <f aca="false">L27*M27</f>
        <v>0</v>
      </c>
      <c r="O27" s="71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6</v>
      </c>
      <c r="N28" s="43" t="n">
        <f aca="false">SUM(N16:N27)*1.2</f>
        <v>357120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89</v>
      </c>
      <c r="F29" s="58"/>
      <c r="G29" s="71" t="n">
        <f aca="false">+G27+G25</f>
        <v>6</v>
      </c>
      <c r="H29" s="58"/>
      <c r="I29" s="43"/>
      <c r="O29" s="71" t="n">
        <v>1</v>
      </c>
    </row>
    <row r="31" customFormat="false" ht="12.75" hidden="false" customHeight="false" outlineLevel="0" collapsed="false">
      <c r="J31" s="16" t="s">
        <v>140</v>
      </c>
      <c r="K31" s="43"/>
      <c r="L31" s="43"/>
      <c r="M31" s="43"/>
    </row>
    <row r="32" customFormat="false" ht="12.75" hidden="true" customHeight="false" outlineLevel="0" collapsed="false">
      <c r="B32" s="57" t="s">
        <v>107</v>
      </c>
      <c r="C32" s="58" t="n">
        <v>677322</v>
      </c>
      <c r="K32" s="43"/>
      <c r="L32" s="43"/>
      <c r="M32" s="43"/>
    </row>
    <row r="33" customFormat="false" ht="12.75" hidden="false" customHeight="false" outlineLevel="0" collapsed="false">
      <c r="J33" s="73" t="s">
        <v>141</v>
      </c>
      <c r="K33" s="74" t="s">
        <v>142</v>
      </c>
      <c r="L33" s="74" t="s">
        <v>143</v>
      </c>
      <c r="M33" s="74" t="s">
        <v>86</v>
      </c>
      <c r="N33" s="74" t="s">
        <v>144</v>
      </c>
    </row>
    <row r="34" customFormat="false" ht="12.75" hidden="false" customHeight="false" outlineLevel="0" collapsed="false">
      <c r="J34" s="75" t="n">
        <f aca="false">SUM(E12:E22)</f>
        <v>4230513.12</v>
      </c>
      <c r="K34" s="74" t="n">
        <f aca="false">+E29</f>
        <v>89</v>
      </c>
      <c r="L34" s="74" t="n">
        <f aca="false">+J34/K34</f>
        <v>47533.8552808989</v>
      </c>
      <c r="M34" s="74" t="n">
        <f aca="false">+M11</f>
        <v>6</v>
      </c>
      <c r="N34" s="74" t="n">
        <f aca="false">+L34*M34</f>
        <v>285203.131685393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43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44" t="str">
        <f aca="false">'[8]Team Report'!B1</f>
        <v>Enron North America</v>
      </c>
      <c r="C1" s="44"/>
      <c r="D1" s="44"/>
      <c r="E1" s="44"/>
      <c r="F1" s="44"/>
      <c r="G1" s="44"/>
      <c r="H1" s="46"/>
      <c r="I1" s="45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customFormat="false" ht="18" hidden="false" customHeight="false" outlineLevel="0" collapsed="false">
      <c r="B2" s="44" t="s">
        <v>215</v>
      </c>
      <c r="C2" s="44"/>
      <c r="D2" s="44"/>
      <c r="E2" s="44"/>
      <c r="F2" s="44"/>
      <c r="G2" s="44"/>
      <c r="H2" s="46"/>
      <c r="I2" s="45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8"/>
      <c r="I3" s="45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customFormat="false" ht="12.75" hidden="false" customHeight="false" outlineLevel="0" collapsed="false">
      <c r="H4" s="79"/>
      <c r="I4" s="50"/>
      <c r="J4" s="80"/>
      <c r="K4" s="81"/>
    </row>
    <row r="5" customFormat="false" ht="12.75" hidden="false" customHeight="false" outlineLevel="0" collapsed="false">
      <c r="H5" s="82"/>
      <c r="I5" s="43" t="s">
        <v>85</v>
      </c>
      <c r="J5" s="21" t="s">
        <v>86</v>
      </c>
      <c r="K5" s="83" t="s">
        <v>87</v>
      </c>
    </row>
    <row r="6" customFormat="false" ht="12.75" hidden="false" customHeight="false" outlineLevel="0" collapsed="false">
      <c r="C6" s="54" t="n">
        <v>37135</v>
      </c>
      <c r="E6" s="54" t="s">
        <v>90</v>
      </c>
      <c r="G6" s="54" t="s">
        <v>90</v>
      </c>
      <c r="H6" s="82"/>
      <c r="J6" s="21"/>
      <c r="K6" s="83"/>
      <c r="O6" s="94" t="n">
        <v>2002</v>
      </c>
      <c r="AK6" s="9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94</v>
      </c>
      <c r="H7" s="82"/>
      <c r="J7" s="21"/>
      <c r="K7" s="83"/>
      <c r="O7" s="55" t="s">
        <v>94</v>
      </c>
      <c r="AK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+'[9]Natural Gas'!C8+[9]Ontario!C8+[9]Finance!C8+[9]Executive!C8+[9]Alberta!C8</f>
        <v>2855922.03</v>
      </c>
      <c r="E8" s="58" t="n">
        <f aca="false">+'[9]Natural Gas'!E8+[9]Ontario!E8+[9]Finance!E8+[9]Executive!E8+[9]Alberta!E8</f>
        <v>3807896.04</v>
      </c>
      <c r="G8" s="58" t="n">
        <f aca="false">K28-G11-G10</f>
        <v>2197008</v>
      </c>
      <c r="H8" s="82" t="s">
        <v>96</v>
      </c>
      <c r="I8" s="43" t="n">
        <v>0</v>
      </c>
      <c r="J8" s="21"/>
      <c r="K8" s="86" t="n">
        <f aca="false">K28</f>
        <v>3912480</v>
      </c>
      <c r="O8" s="58" t="n">
        <f aca="false">+G8/$G$29*$O$29</f>
        <v>81370.6666666667</v>
      </c>
      <c r="AK8" s="58"/>
    </row>
    <row r="9" customFormat="false" ht="12.75" hidden="false" customHeight="false" outlineLevel="0" collapsed="false">
      <c r="A9" s="56"/>
      <c r="B9" s="57" t="s">
        <v>97</v>
      </c>
      <c r="C9" s="58" t="n">
        <f aca="false">+'[9]Natural Gas'!C9+[9]Ontario!C9+[9]Finance!C9+[9]Executive!C9+[9]Alberta!C9</f>
        <v>0</v>
      </c>
      <c r="E9" s="58" t="n">
        <f aca="false">+'[9]Natural Gas'!E9+[9]Ontario!E9+[9]Finance!E9+[9]Executive!E9+[9]Alberta!E9</f>
        <v>0</v>
      </c>
      <c r="G9" s="58" t="n">
        <v>0</v>
      </c>
      <c r="H9" s="82"/>
      <c r="J9" s="21"/>
      <c r="K9" s="83"/>
      <c r="O9" s="58" t="n">
        <f aca="false">+G9/$G$29*$O$29</f>
        <v>0</v>
      </c>
      <c r="AK9" s="58"/>
    </row>
    <row r="10" customFormat="false" ht="12.75" hidden="false" customHeight="false" outlineLevel="0" collapsed="false">
      <c r="A10" s="56"/>
      <c r="B10" s="57" t="s">
        <v>184</v>
      </c>
      <c r="C10" s="58" t="n">
        <v>0</v>
      </c>
      <c r="E10" s="58" t="n">
        <v>0</v>
      </c>
      <c r="G10" s="58" t="n">
        <f aca="false">K22+K21</f>
        <v>788400</v>
      </c>
      <c r="H10" s="82"/>
      <c r="J10" s="21"/>
      <c r="K10" s="83"/>
      <c r="O10" s="58" t="n">
        <f aca="false">+G10/$G$29*$O$29</f>
        <v>29200</v>
      </c>
      <c r="AK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+'[9]Natural Gas'!C11+[9]Ontario!C11+[9]Finance!C11+[9]Executive!C10+[9]Alberta!C11</f>
        <v>312682.37</v>
      </c>
      <c r="E11" s="58" t="n">
        <f aca="false">+'[9]Natural Gas'!E11+[9]Ontario!E11+[9]Finance!E11+[9]Executive!E10+[9]Alberta!E11</f>
        <v>416909.826666667</v>
      </c>
      <c r="G11" s="58" t="n">
        <v>927072</v>
      </c>
      <c r="H11" s="82" t="s">
        <v>67</v>
      </c>
      <c r="I11" s="74" t="n">
        <f aca="false">(E12+E13+E14+E15+E16+E17+E18+E19+E20+E21+E22)/E29</f>
        <v>31253.50784</v>
      </c>
      <c r="J11" s="21" t="n">
        <f aca="false">J28</f>
        <v>27</v>
      </c>
      <c r="K11" s="86" t="n">
        <f aca="false">I11*J11</f>
        <v>843844.71168</v>
      </c>
      <c r="O11" s="58" t="n">
        <f aca="false">+G11/$G$29*$O$29</f>
        <v>34336</v>
      </c>
      <c r="AK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+'[9]Natural Gas'!C12+[9]Ontario!C12+[9]Finance!C12+[9]Executive!C12+[9]Alberta!C12</f>
        <v>67320.13</v>
      </c>
      <c r="E12" s="62" t="n">
        <f aca="false">(+'[9]Natural Gas'!E12+[9]Ontario!E12+[9]Finance!E12+[9]Executive!E12+[9]Alberta!E12)*1.2</f>
        <v>107712.208</v>
      </c>
      <c r="G12" s="58" t="n">
        <f aca="false">(E12/$E$29)*$G$29</f>
        <v>58164.59232</v>
      </c>
      <c r="H12" s="82"/>
      <c r="J12" s="21"/>
      <c r="K12" s="83"/>
      <c r="O12" s="58" t="n">
        <f aca="false">+G12/$G$29*$O$29</f>
        <v>2154.24416</v>
      </c>
      <c r="AK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+'[9]Natural Gas'!C13+[9]Ontario!C13+[9]Finance!C13+[9]Executive!C13+[9]Alberta!C13</f>
        <v>297871.84</v>
      </c>
      <c r="E13" s="62" t="n">
        <f aca="false">(+'[9]Natural Gas'!E13+[9]Ontario!E13+[9]Finance!E13+[9]Executive!E13+[9]Alberta!E13)*1.2</f>
        <v>476594.944</v>
      </c>
      <c r="G13" s="58" t="n">
        <f aca="false">(E13/$E$29)*$G$29</f>
        <v>257361.26976</v>
      </c>
      <c r="H13" s="87" t="s">
        <v>105</v>
      </c>
      <c r="I13" s="64"/>
      <c r="J13" s="88"/>
      <c r="K13" s="89" t="n">
        <f aca="false">K8+K11</f>
        <v>4756324.71168</v>
      </c>
      <c r="O13" s="58" t="n">
        <f aca="false">+G13/$G$29*$O$29</f>
        <v>9531.89888</v>
      </c>
      <c r="AK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+'[9]Natural Gas'!C14+[9]Ontario!C14+[9]Finance!C14+[9]Executive!C14+[9]Alberta!C14</f>
        <v>505739.98</v>
      </c>
      <c r="E14" s="62" t="n">
        <f aca="false">(+'[9]Natural Gas'!E14+[9]Ontario!E14+[9]Finance!E14+[9]Executive!E14+[9]Alberta!E14)*1.2</f>
        <v>809183.968</v>
      </c>
      <c r="G14" s="58" t="n">
        <f aca="false">(E14/$E$29)*$G$29</f>
        <v>436959.34272</v>
      </c>
      <c r="O14" s="58" t="n">
        <f aca="false">+G14/$G$29*$O$29</f>
        <v>16183.67936</v>
      </c>
      <c r="AK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+'[9]Natural Gas'!C15+[9]Ontario!C15+[9]Finance!C15+[9]Executive!C15+[9]Alberta!C15</f>
        <v>6427.42</v>
      </c>
      <c r="E15" s="62" t="n">
        <f aca="false">(+'[9]Natural Gas'!E15+[9]Ontario!E15+[9]Finance!E15+[9]Executive!E15+[9]Alberta!E15)*1.2</f>
        <v>10283.872</v>
      </c>
      <c r="G15" s="58" t="n">
        <f aca="false">(E15/$E$29)*$G$29</f>
        <v>5553.29088</v>
      </c>
      <c r="O15" s="58" t="n">
        <f aca="false">+G15/$G$29*$O$29</f>
        <v>205.67744</v>
      </c>
      <c r="AK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+'[9]Natural Gas'!C16+[9]Ontario!C16+[9]Finance!C16+[9]Executive!C16+[9]Alberta!C16</f>
        <v>0</v>
      </c>
      <c r="E16" s="62" t="n">
        <f aca="false">(+'[9]Natural Gas'!E16+[9]Ontario!E16+[9]Finance!E16+[9]Executive!E16+[9]Alberta!E16)*1.2</f>
        <v>0</v>
      </c>
      <c r="G16" s="58" t="n">
        <f aca="false">(E16/$E$29)*$G$29</f>
        <v>0</v>
      </c>
      <c r="H16" s="0" t="s">
        <v>177</v>
      </c>
      <c r="I16" s="43" t="n">
        <v>33600</v>
      </c>
      <c r="J16" s="0" t="n">
        <v>0</v>
      </c>
      <c r="K16" s="0" t="n">
        <f aca="false">I16*J16</f>
        <v>0</v>
      </c>
      <c r="O16" s="58" t="n">
        <f aca="false">+G16/$G$29*$O$29</f>
        <v>0</v>
      </c>
      <c r="AK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+'[9]Natural Gas'!C17+[9]Ontario!C17+[9]Finance!C17+[9]Executive!C17+[9]Alberta!C17</f>
        <v>1883.62</v>
      </c>
      <c r="E17" s="62" t="n">
        <f aca="false">(+'[9]Natural Gas'!E17+[9]Ontario!E17+[9]Finance!E17+[9]Executive!E17+[9]Alberta!E17)*1.2</f>
        <v>3013.792</v>
      </c>
      <c r="G17" s="58" t="n">
        <f aca="false">(E17/$E$29)*$G$29</f>
        <v>1627.44768</v>
      </c>
      <c r="H17" s="0" t="s">
        <v>115</v>
      </c>
      <c r="I17" s="43" t="n">
        <v>52800</v>
      </c>
      <c r="J17" s="0" t="n">
        <v>0</v>
      </c>
      <c r="K17" s="0" t="n">
        <f aca="false">I17*J17</f>
        <v>0</v>
      </c>
      <c r="O17" s="58" t="n">
        <f aca="false">+G17/$G$29*$O$29</f>
        <v>60.27584</v>
      </c>
      <c r="AK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+'[9]Natural Gas'!C18+[9]Ontario!C18+[9]Finance!C18+[9]Executive!C18+[9]Alberta!C18</f>
        <v>19208.42</v>
      </c>
      <c r="E18" s="62" t="n">
        <f aca="false">(+'[9]Natural Gas'!E18+[9]Ontario!E18+[9]Finance!E18+[9]Executive!E18+[9]Alberta!E18)*1.2</f>
        <v>30733.472</v>
      </c>
      <c r="G18" s="58" t="n">
        <f aca="false">(E18/$E$29)*$G$29</f>
        <v>16596.07488</v>
      </c>
      <c r="H18" s="0" t="s">
        <v>118</v>
      </c>
      <c r="I18" s="43" t="n">
        <v>54000</v>
      </c>
      <c r="J18" s="0" t="n">
        <v>0</v>
      </c>
      <c r="K18" s="0" t="n">
        <f aca="false">I18*J18</f>
        <v>0</v>
      </c>
      <c r="O18" s="58" t="n">
        <f aca="false">+G18/$G$29*$O$29</f>
        <v>614.66944</v>
      </c>
      <c r="AK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+'[9]Natural Gas'!C19+[9]Ontario!C19+[9]Finance!C19+[9]Executive!C19+[9]Alberta!C19</f>
        <v>52344.84</v>
      </c>
      <c r="E19" s="62" t="n">
        <f aca="false">(+'[9]Natural Gas'!E19+[9]Ontario!E19+[9]Finance!E19+[9]Executive!E19+[9]Alberta!E19)*1.2</f>
        <v>83751.744</v>
      </c>
      <c r="G19" s="58" t="n">
        <f aca="false">(E19/$E$29)*$G$29</f>
        <v>45225.94176</v>
      </c>
      <c r="H19" s="0" t="s">
        <v>121</v>
      </c>
      <c r="I19" s="43" t="n">
        <v>63000</v>
      </c>
      <c r="J19" s="0" t="n">
        <v>0</v>
      </c>
      <c r="K19" s="0" t="n">
        <f aca="false">I19*J19</f>
        <v>0</v>
      </c>
      <c r="O19" s="58" t="n">
        <f aca="false">+G19/$G$29*$O$29</f>
        <v>1675.03488</v>
      </c>
      <c r="AK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+'[9]Natural Gas'!C20+[9]Ontario!C20+[9]Finance!C20+[9]Executive!C20+[9]Alberta!C20</f>
        <v>0</v>
      </c>
      <c r="E20" s="62" t="n">
        <f aca="false">(+'[9]Natural Gas'!E20+[9]Ontario!E20+[9]Finance!E20+[9]Executive!E20+[9]Alberta!E20)*1.2</f>
        <v>0</v>
      </c>
      <c r="G20" s="58" t="n">
        <f aca="false">(E20/$E$29)*$G$29</f>
        <v>0</v>
      </c>
      <c r="H20" s="0" t="s">
        <v>124</v>
      </c>
      <c r="I20" s="43" t="n">
        <v>78000</v>
      </c>
      <c r="J20" s="0" t="n">
        <v>0</v>
      </c>
      <c r="K20" s="0" t="n">
        <f aca="false">I20*J20</f>
        <v>0</v>
      </c>
      <c r="O20" s="58" t="n">
        <f aca="false">+G20/$G$29*$O$29</f>
        <v>0</v>
      </c>
      <c r="AK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+'[9]Natural Gas'!C21+[9]Ontario!C21+[9]Finance!C21+[9]Executive!C21+[9]Alberta!C21</f>
        <v>19769.17</v>
      </c>
      <c r="E21" s="62" t="n">
        <f aca="false">(+'[9]Natural Gas'!E21+[9]Ontario!E21+[9]Finance!E21+[9]Executive!E21+[9]Alberta!E21)*1.2</f>
        <v>31630.6720000001</v>
      </c>
      <c r="G21" s="58" t="n">
        <f aca="false">(E21/$E$29)*$G$29</f>
        <v>17080.56288</v>
      </c>
      <c r="H21" s="0" t="s">
        <v>127</v>
      </c>
      <c r="I21" s="43" t="n">
        <v>66000</v>
      </c>
      <c r="J21" s="0" t="n">
        <f aca="false">3+5+1</f>
        <v>9</v>
      </c>
      <c r="K21" s="0" t="n">
        <f aca="false">I21*J21</f>
        <v>594000</v>
      </c>
      <c r="O21" s="58" t="n">
        <f aca="false">+G21/$G$29*$O$29</f>
        <v>632.613440000001</v>
      </c>
      <c r="AK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+'[9]Natural Gas'!C22+[9]Ontario!C22+[9]Finance!C22+[9]Executive!C22+[9]Alberta!C22</f>
        <v>6106.70000000001</v>
      </c>
      <c r="E22" s="62" t="n">
        <f aca="false">(+'[9]Natural Gas'!E22+[9]Ontario!E22+[9]Finance!E22+[9]Executive!E22+[9]Alberta!E22)*1.2</f>
        <v>9770.72000000001</v>
      </c>
      <c r="G22" s="58" t="n">
        <f aca="false">(E22/$E$29)*$G$29</f>
        <v>5276.18880000001</v>
      </c>
      <c r="H22" s="0" t="s">
        <v>130</v>
      </c>
      <c r="I22" s="43" t="n">
        <v>97200</v>
      </c>
      <c r="J22" s="0" t="n">
        <v>2</v>
      </c>
      <c r="K22" s="0" t="n">
        <f aca="false">I22*J22</f>
        <v>194400</v>
      </c>
      <c r="O22" s="58" t="n">
        <f aca="false">+G22/$G$29*$O$29</f>
        <v>195.4144</v>
      </c>
      <c r="AK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4145276.52</v>
      </c>
      <c r="E23" s="68" t="n">
        <f aca="false">SUM(E8:E22)</f>
        <v>5787481.25866667</v>
      </c>
      <c r="G23" s="68" t="n">
        <f aca="false">SUM(G8:G22)</f>
        <v>4756324.71168</v>
      </c>
      <c r="H23" s="0" t="s">
        <v>133</v>
      </c>
      <c r="I23" s="43" t="n">
        <v>120000</v>
      </c>
      <c r="J23" s="0" t="n">
        <f aca="false">6+1+1</f>
        <v>8</v>
      </c>
      <c r="K23" s="0" t="n">
        <f aca="false">I23*J23</f>
        <v>960000</v>
      </c>
      <c r="O23" s="68" t="n">
        <f aca="false">SUM(O8:O22)</f>
        <v>176160.174506667</v>
      </c>
      <c r="AK23" s="70"/>
    </row>
    <row r="24" customFormat="false" ht="12.75" hidden="false" customHeight="false" outlineLevel="0" collapsed="false">
      <c r="H24" s="0" t="s">
        <v>134</v>
      </c>
      <c r="I24" s="43" t="n">
        <v>156000</v>
      </c>
      <c r="J24" s="0" t="n">
        <v>4</v>
      </c>
      <c r="K24" s="0" t="n">
        <f aca="false">I24*J24</f>
        <v>624000</v>
      </c>
      <c r="AK24" s="21"/>
    </row>
    <row r="25" customFormat="false" ht="12.75" hidden="false" customHeight="false" outlineLevel="0" collapsed="false">
      <c r="B25" s="67" t="s">
        <v>9</v>
      </c>
      <c r="C25" s="3"/>
      <c r="E25" s="95" t="n">
        <f aca="false">+'[9]Natural Gas'!E25+[9]Ontario!E25+[9]Finance!E25+[9]Executive!E25+[9]Alberta!E25</f>
        <v>30</v>
      </c>
      <c r="G25" s="95" t="n">
        <f aca="false">SUM(J16:J20,J23:J27)</f>
        <v>16</v>
      </c>
      <c r="H25" s="0" t="s">
        <v>135</v>
      </c>
      <c r="I25" s="43" t="n">
        <v>180000</v>
      </c>
      <c r="J25" s="0" t="n">
        <v>0</v>
      </c>
      <c r="K25" s="0" t="n">
        <f aca="false">I25*J25</f>
        <v>0</v>
      </c>
      <c r="O25" s="71" t="n">
        <f aca="false">SUM(U16:U20,U23:U27)</f>
        <v>0</v>
      </c>
      <c r="AK25" s="58"/>
    </row>
    <row r="26" customFormat="false" ht="12.75" hidden="false" customHeight="false" outlineLevel="0" collapsed="false">
      <c r="C26" s="58"/>
      <c r="E26" s="57"/>
      <c r="G26" s="57"/>
      <c r="H26" s="0" t="s">
        <v>136</v>
      </c>
      <c r="I26" s="43" t="n">
        <v>216000</v>
      </c>
      <c r="J26" s="0" t="n">
        <f aca="false">1+1+1</f>
        <v>3</v>
      </c>
      <c r="K26" s="0" t="n">
        <f aca="false">I26*J26</f>
        <v>648000</v>
      </c>
      <c r="O26" s="58"/>
      <c r="AK26" s="58"/>
    </row>
    <row r="27" customFormat="false" ht="12.75" hidden="false" customHeight="false" outlineLevel="0" collapsed="false">
      <c r="B27" s="67" t="s">
        <v>178</v>
      </c>
      <c r="C27" s="58"/>
      <c r="E27" s="95" t="n">
        <f aca="false">+'[9]Natural Gas'!E27+[9]Ontario!E27+[9]Finance!E27+[9]Executive!E27+[9]Alberta!E27</f>
        <v>20</v>
      </c>
      <c r="G27" s="95" t="n">
        <f aca="false">SUM(J21:J22)</f>
        <v>11</v>
      </c>
      <c r="H27" s="0" t="s">
        <v>185</v>
      </c>
      <c r="I27" s="43" t="n">
        <v>240000</v>
      </c>
      <c r="J27" s="0" t="n">
        <v>1</v>
      </c>
      <c r="K27" s="0" t="n">
        <f aca="false">I27*J27</f>
        <v>240000</v>
      </c>
      <c r="O27" s="71" t="n">
        <f aca="false">+U21+U22</f>
        <v>0</v>
      </c>
      <c r="AK27" s="58"/>
    </row>
    <row r="28" customFormat="false" ht="12.75" hidden="false" customHeight="false" outlineLevel="0" collapsed="false">
      <c r="J28" s="0" t="n">
        <f aca="false">SUM(J16:J27)</f>
        <v>27</v>
      </c>
      <c r="K28" s="0" t="n">
        <f aca="false">SUM(K16:K27)*1.2</f>
        <v>3912480</v>
      </c>
      <c r="AK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50</v>
      </c>
      <c r="F29" s="58"/>
      <c r="G29" s="71" t="n">
        <f aca="false">+G27+G25</f>
        <v>27</v>
      </c>
      <c r="H29" s="60"/>
      <c r="O29" s="71" t="n">
        <v>1</v>
      </c>
      <c r="AK29" s="58"/>
    </row>
    <row r="30" customFormat="false" ht="12.75" hidden="true" customHeight="false" outlineLevel="0" collapsed="false"/>
    <row r="31" customFormat="false" ht="12.75" hidden="true" customHeight="false" outlineLevel="0" collapsed="false">
      <c r="A31" s="56" t="s">
        <v>186</v>
      </c>
      <c r="B31" s="57" t="s">
        <v>187</v>
      </c>
      <c r="C31" s="58"/>
      <c r="E31" s="58"/>
      <c r="G31" s="16" t="s">
        <v>140</v>
      </c>
      <c r="H31" s="43"/>
      <c r="J31" s="43"/>
    </row>
    <row r="32" customFormat="false" ht="12.75" hidden="true" customHeight="false" outlineLevel="0" collapsed="false">
      <c r="A32" s="56" t="s">
        <v>188</v>
      </c>
      <c r="B32" s="57"/>
      <c r="C32" s="58"/>
      <c r="E32" s="58"/>
      <c r="H32" s="43"/>
      <c r="J32" s="43"/>
    </row>
    <row r="33" customFormat="false" ht="12.75" hidden="true" customHeight="false" outlineLevel="0" collapsed="false">
      <c r="A33" s="56" t="s">
        <v>189</v>
      </c>
      <c r="B33" s="57"/>
      <c r="C33" s="58"/>
      <c r="E33" s="58"/>
      <c r="G33" s="73" t="s">
        <v>141</v>
      </c>
      <c r="H33" s="74" t="s">
        <v>142</v>
      </c>
      <c r="I33" s="74" t="s">
        <v>143</v>
      </c>
      <c r="J33" s="74" t="s">
        <v>86</v>
      </c>
      <c r="K33" s="74" t="s">
        <v>144</v>
      </c>
    </row>
    <row r="34" customFormat="false" ht="12.75" hidden="true" customHeight="false" outlineLevel="0" collapsed="false">
      <c r="A34" s="56" t="s">
        <v>190</v>
      </c>
      <c r="B34" s="57"/>
      <c r="C34" s="58"/>
      <c r="E34" s="58"/>
      <c r="G34" s="75" t="n">
        <f aca="false">SUM(E12:E22)</f>
        <v>1562675.392</v>
      </c>
      <c r="H34" s="74" t="n">
        <f aca="false">+E29</f>
        <v>50</v>
      </c>
      <c r="I34" s="74" t="n">
        <f aca="false">+G34/H34</f>
        <v>31253.50784</v>
      </c>
      <c r="J34" s="74" t="n">
        <f aca="false">+J11</f>
        <v>27</v>
      </c>
      <c r="K34" s="74" t="n">
        <f aca="false">+I34*J34</f>
        <v>843844.71168</v>
      </c>
    </row>
    <row r="35" customFormat="false" ht="12.75" hidden="true" customHeight="false" outlineLevel="0" collapsed="false">
      <c r="A35" s="56" t="s">
        <v>191</v>
      </c>
      <c r="B35" s="57"/>
      <c r="C35" s="58"/>
      <c r="E35" s="58"/>
    </row>
    <row r="36" customFormat="false" ht="12.75" hidden="true" customHeight="false" outlineLevel="0" collapsed="false">
      <c r="A36" s="56" t="s">
        <v>192</v>
      </c>
      <c r="B36" s="57"/>
      <c r="C36" s="58"/>
      <c r="E36" s="58"/>
    </row>
    <row r="37" customFormat="false" ht="12.75" hidden="true" customHeight="false" outlineLevel="0" collapsed="false">
      <c r="A37" s="56" t="s">
        <v>193</v>
      </c>
      <c r="B37" s="57"/>
      <c r="C37" s="58"/>
      <c r="E37" s="58"/>
    </row>
    <row r="38" customFormat="false" ht="12.75" hidden="true" customHeight="false" outlineLevel="0" collapsed="false">
      <c r="A38" s="56" t="s">
        <v>194</v>
      </c>
      <c r="B38" s="57"/>
      <c r="C38" s="58"/>
      <c r="E38" s="58"/>
    </row>
    <row r="39" customFormat="false" ht="12.75" hidden="true" customHeight="false" outlineLevel="0" collapsed="false">
      <c r="B39" s="57"/>
      <c r="C39" s="58"/>
      <c r="E39" s="58"/>
    </row>
    <row r="40" customFormat="false" ht="12.75" hidden="true" customHeight="false" outlineLevel="0" collapsed="false">
      <c r="B40" s="57"/>
      <c r="C40" s="58"/>
      <c r="E40" s="58"/>
    </row>
    <row r="41" customFormat="false" ht="12.75" hidden="true" customHeight="false" outlineLevel="0" collapsed="false">
      <c r="B41" s="57"/>
      <c r="C41" s="58"/>
      <c r="E41" s="58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96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64" activeCellId="0" sqref="D6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43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6" min="12" style="0" width="9.14"/>
  </cols>
  <sheetData>
    <row r="1" customFormat="false" ht="18" hidden="false" customHeight="false" outlineLevel="0" collapsed="false">
      <c r="B1" s="44" t="str">
        <f aca="false">'[8]Team Report'!B1</f>
        <v>Enron North America</v>
      </c>
      <c r="C1" s="44"/>
      <c r="D1" s="44"/>
      <c r="E1" s="44"/>
      <c r="F1" s="44"/>
      <c r="G1" s="44"/>
      <c r="H1" s="46"/>
      <c r="I1" s="45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customFormat="false" ht="18" hidden="false" customHeight="false" outlineLevel="0" collapsed="false">
      <c r="B2" s="44" t="s">
        <v>216</v>
      </c>
      <c r="C2" s="44"/>
      <c r="D2" s="44"/>
      <c r="E2" s="44"/>
      <c r="F2" s="44"/>
      <c r="G2" s="44"/>
      <c r="H2" s="46"/>
      <c r="I2" s="45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8"/>
      <c r="I3" s="45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customFormat="false" ht="12.75" hidden="false" customHeight="false" outlineLevel="0" collapsed="false">
      <c r="H4" s="79"/>
      <c r="I4" s="50"/>
      <c r="J4" s="80"/>
      <c r="K4" s="81"/>
    </row>
    <row r="5" customFormat="false" ht="12.75" hidden="false" customHeight="false" outlineLevel="0" collapsed="false">
      <c r="H5" s="82"/>
      <c r="I5" s="43" t="s">
        <v>85</v>
      </c>
      <c r="J5" s="21" t="s">
        <v>86</v>
      </c>
      <c r="K5" s="83" t="s">
        <v>87</v>
      </c>
    </row>
    <row r="6" customFormat="false" ht="12.75" hidden="false" customHeight="false" outlineLevel="0" collapsed="false">
      <c r="C6" s="54" t="n">
        <v>37135</v>
      </c>
      <c r="E6" s="54" t="s">
        <v>90</v>
      </c>
      <c r="G6" s="54" t="s">
        <v>90</v>
      </c>
      <c r="H6" s="82"/>
      <c r="J6" s="21"/>
      <c r="K6" s="83"/>
      <c r="O6" s="94" t="n">
        <v>2002</v>
      </c>
      <c r="AK6" s="9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94</v>
      </c>
      <c r="H7" s="82"/>
      <c r="J7" s="21"/>
      <c r="K7" s="83"/>
      <c r="O7" s="55" t="s">
        <v>94</v>
      </c>
      <c r="AK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+'[9]Natural Gas'!C8+[9]Ontario!C8+[9]Finance!C8+[9]Executive!C8+[9]Alberta!C8</f>
        <v>2855922.03</v>
      </c>
      <c r="E8" s="58" t="n">
        <f aca="false">+'[9]Natural Gas'!E8+[9]Ontario!E8+[9]Finance!E8+[9]Executive!E8+[9]Alberta!E8</f>
        <v>3807896.04</v>
      </c>
      <c r="G8" s="58" t="n">
        <f aca="false">K28-G11-G10</f>
        <v>0</v>
      </c>
      <c r="H8" s="82" t="s">
        <v>96</v>
      </c>
      <c r="I8" s="43" t="n">
        <v>0</v>
      </c>
      <c r="J8" s="21"/>
      <c r="K8" s="86" t="n">
        <f aca="false">K28</f>
        <v>0</v>
      </c>
      <c r="O8" s="58" t="e">
        <f aca="false">+G8/$G$29*$O$29</f>
        <v>#DIV/0!</v>
      </c>
      <c r="AK8" s="58"/>
    </row>
    <row r="9" customFormat="false" ht="12.75" hidden="false" customHeight="false" outlineLevel="0" collapsed="false">
      <c r="A9" s="56"/>
      <c r="B9" s="57" t="s">
        <v>97</v>
      </c>
      <c r="C9" s="58" t="n">
        <f aca="false">+'[9]Natural Gas'!C9+[9]Ontario!C9+[9]Finance!C9+[9]Executive!C9+[9]Alberta!C9</f>
        <v>0</v>
      </c>
      <c r="E9" s="58" t="n">
        <f aca="false">+'[9]Natural Gas'!E9+[9]Ontario!E9+[9]Finance!E9+[9]Executive!E9+[9]Alberta!E9</f>
        <v>0</v>
      </c>
      <c r="G9" s="58" t="n">
        <v>0</v>
      </c>
      <c r="H9" s="82"/>
      <c r="J9" s="21"/>
      <c r="K9" s="83"/>
      <c r="O9" s="58" t="e">
        <f aca="false">+G9/$G$29*$O$29</f>
        <v>#DIV/0!</v>
      </c>
      <c r="AK9" s="58"/>
    </row>
    <row r="10" customFormat="false" ht="12.75" hidden="false" customHeight="false" outlineLevel="0" collapsed="false">
      <c r="A10" s="56"/>
      <c r="B10" s="57" t="s">
        <v>184</v>
      </c>
      <c r="C10" s="58" t="n">
        <v>0</v>
      </c>
      <c r="E10" s="58" t="n">
        <v>0</v>
      </c>
      <c r="G10" s="58" t="n">
        <f aca="false">K22+K21</f>
        <v>0</v>
      </c>
      <c r="H10" s="82"/>
      <c r="J10" s="21"/>
      <c r="K10" s="83"/>
      <c r="O10" s="58" t="e">
        <f aca="false">+G10/$G$29*$O$29</f>
        <v>#DIV/0!</v>
      </c>
      <c r="AK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+'[9]Natural Gas'!C11+[9]Ontario!C11+[9]Finance!C11+[9]Executive!C10+[9]Alberta!C11</f>
        <v>312682.37</v>
      </c>
      <c r="E11" s="58" t="n">
        <f aca="false">+'[9]Natural Gas'!E11+[9]Ontario!E11+[9]Finance!E11+[9]Executive!E10+[9]Alberta!E11</f>
        <v>416909.826666667</v>
      </c>
      <c r="G11" s="58" t="n">
        <v>0</v>
      </c>
      <c r="H11" s="82" t="s">
        <v>67</v>
      </c>
      <c r="I11" s="74" t="n">
        <f aca="false">(E12+E13+E14+E15+E16+E17+E18+E19+E20+E21+E22)/E29</f>
        <v>31253.50784</v>
      </c>
      <c r="J11" s="21" t="n">
        <f aca="false">J28</f>
        <v>0</v>
      </c>
      <c r="K11" s="86" t="n">
        <f aca="false">I11*J11</f>
        <v>0</v>
      </c>
      <c r="O11" s="58" t="e">
        <f aca="false">+G11/$G$29*$O$29</f>
        <v>#DIV/0!</v>
      </c>
      <c r="AK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+'[9]Natural Gas'!C12+[9]Ontario!C12+[9]Finance!C12+[9]Executive!C12+[9]Alberta!C12</f>
        <v>67320.13</v>
      </c>
      <c r="E12" s="62" t="n">
        <f aca="false">(+'[9]Natural Gas'!E12+[9]Ontario!E12+[9]Finance!E12+[9]Executive!E12+[9]Alberta!E12)*1.2</f>
        <v>107712.208</v>
      </c>
      <c r="G12" s="58" t="n">
        <f aca="false">(E12/$E$29)*$G$29</f>
        <v>0</v>
      </c>
      <c r="H12" s="82"/>
      <c r="J12" s="21"/>
      <c r="K12" s="83"/>
      <c r="O12" s="58" t="e">
        <f aca="false">+G12/$G$29*$O$29</f>
        <v>#DIV/0!</v>
      </c>
      <c r="AK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+'[9]Natural Gas'!C13+[9]Ontario!C13+[9]Finance!C13+[9]Executive!C13+[9]Alberta!C13</f>
        <v>297871.84</v>
      </c>
      <c r="E13" s="62" t="n">
        <f aca="false">(+'[9]Natural Gas'!E13+[9]Ontario!E13+[9]Finance!E13+[9]Executive!E13+[9]Alberta!E13)*1.2</f>
        <v>476594.944</v>
      </c>
      <c r="G13" s="58" t="n">
        <f aca="false">(E13/$E$29)*$G$29</f>
        <v>0</v>
      </c>
      <c r="H13" s="87" t="s">
        <v>105</v>
      </c>
      <c r="I13" s="64"/>
      <c r="J13" s="88"/>
      <c r="K13" s="89" t="n">
        <f aca="false">K8+K11</f>
        <v>0</v>
      </c>
      <c r="O13" s="58" t="e">
        <f aca="false">+G13/$G$29*$O$29</f>
        <v>#DIV/0!</v>
      </c>
      <c r="AK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+'[9]Natural Gas'!C14+[9]Ontario!C14+[9]Finance!C14+[9]Executive!C14+[9]Alberta!C14</f>
        <v>505739.98</v>
      </c>
      <c r="E14" s="62" t="n">
        <f aca="false">(+'[9]Natural Gas'!E14+[9]Ontario!E14+[9]Finance!E14+[9]Executive!E14+[9]Alberta!E14)*1.2</f>
        <v>809183.968</v>
      </c>
      <c r="G14" s="58" t="n">
        <f aca="false">(E14/$E$29)*$G$29</f>
        <v>0</v>
      </c>
      <c r="O14" s="58" t="e">
        <f aca="false">+G14/$G$29*$O$29</f>
        <v>#DIV/0!</v>
      </c>
      <c r="AK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+'[9]Natural Gas'!C15+[9]Ontario!C15+[9]Finance!C15+[9]Executive!C15+[9]Alberta!C15</f>
        <v>6427.42</v>
      </c>
      <c r="E15" s="62" t="n">
        <f aca="false">(+'[9]Natural Gas'!E15+[9]Ontario!E15+[9]Finance!E15+[9]Executive!E15+[9]Alberta!E15)*1.2</f>
        <v>10283.872</v>
      </c>
      <c r="G15" s="58" t="n">
        <f aca="false">(E15/$E$29)*$G$29</f>
        <v>0</v>
      </c>
      <c r="O15" s="58" t="e">
        <f aca="false">+G15/$G$29*$O$29</f>
        <v>#DIV/0!</v>
      </c>
      <c r="AK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+'[9]Natural Gas'!C16+[9]Ontario!C16+[9]Finance!C16+[9]Executive!C16+[9]Alberta!C16</f>
        <v>0</v>
      </c>
      <c r="E16" s="62" t="n">
        <f aca="false">(+'[9]Natural Gas'!E16+[9]Ontario!E16+[9]Finance!E16+[9]Executive!E16+[9]Alberta!E16)*1.2</f>
        <v>0</v>
      </c>
      <c r="G16" s="58" t="n">
        <f aca="false">(E16/$E$29)*$G$29</f>
        <v>0</v>
      </c>
      <c r="H16" s="0" t="s">
        <v>177</v>
      </c>
      <c r="I16" s="43" t="n">
        <v>33600</v>
      </c>
      <c r="J16" s="0" t="n">
        <v>0</v>
      </c>
      <c r="K16" s="0" t="n">
        <f aca="false">I16*J16</f>
        <v>0</v>
      </c>
      <c r="O16" s="58" t="e">
        <f aca="false">+G16/$G$29*$O$29</f>
        <v>#DIV/0!</v>
      </c>
      <c r="AK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+'[9]Natural Gas'!C17+[9]Ontario!C17+[9]Finance!C17+[9]Executive!C17+[9]Alberta!C17</f>
        <v>1883.62</v>
      </c>
      <c r="E17" s="62" t="n">
        <f aca="false">(+'[9]Natural Gas'!E17+[9]Ontario!E17+[9]Finance!E17+[9]Executive!E17+[9]Alberta!E17)*1.2</f>
        <v>3013.792</v>
      </c>
      <c r="G17" s="58" t="n">
        <f aca="false">(E17/$E$29)*$G$29</f>
        <v>0</v>
      </c>
      <c r="H17" s="0" t="s">
        <v>115</v>
      </c>
      <c r="I17" s="43" t="n">
        <v>52800</v>
      </c>
      <c r="J17" s="0" t="n">
        <v>0</v>
      </c>
      <c r="K17" s="0" t="n">
        <f aca="false">I17*J17</f>
        <v>0</v>
      </c>
      <c r="O17" s="58" t="e">
        <f aca="false">+G17/$G$29*$O$29</f>
        <v>#DIV/0!</v>
      </c>
      <c r="AK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+'[9]Natural Gas'!C18+[9]Ontario!C18+[9]Finance!C18+[9]Executive!C18+[9]Alberta!C18</f>
        <v>19208.42</v>
      </c>
      <c r="E18" s="62" t="n">
        <f aca="false">(+'[9]Natural Gas'!E18+[9]Ontario!E18+[9]Finance!E18+[9]Executive!E18+[9]Alberta!E18)*1.2</f>
        <v>30733.472</v>
      </c>
      <c r="G18" s="58" t="n">
        <f aca="false">(E18/$E$29)*$G$29</f>
        <v>0</v>
      </c>
      <c r="H18" s="0" t="s">
        <v>118</v>
      </c>
      <c r="I18" s="43" t="n">
        <v>54000</v>
      </c>
      <c r="J18" s="0" t="n">
        <v>0</v>
      </c>
      <c r="K18" s="0" t="n">
        <f aca="false">I18*J18</f>
        <v>0</v>
      </c>
      <c r="O18" s="58" t="e">
        <f aca="false">+G18/$G$29*$O$29</f>
        <v>#DIV/0!</v>
      </c>
      <c r="AK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+'[9]Natural Gas'!C19+[9]Ontario!C19+[9]Finance!C19+[9]Executive!C19+[9]Alberta!C19</f>
        <v>52344.84</v>
      </c>
      <c r="E19" s="62" t="n">
        <f aca="false">(+'[9]Natural Gas'!E19+[9]Ontario!E19+[9]Finance!E19+[9]Executive!E19+[9]Alberta!E19)*1.2</f>
        <v>83751.744</v>
      </c>
      <c r="G19" s="58" t="n">
        <f aca="false">(E19/$E$29)*$G$29</f>
        <v>0</v>
      </c>
      <c r="H19" s="0" t="s">
        <v>121</v>
      </c>
      <c r="I19" s="43" t="n">
        <v>63000</v>
      </c>
      <c r="J19" s="0" t="n">
        <v>0</v>
      </c>
      <c r="K19" s="0" t="n">
        <f aca="false">I19*J19</f>
        <v>0</v>
      </c>
      <c r="O19" s="58" t="e">
        <f aca="false">+G19/$G$29*$O$29</f>
        <v>#DIV/0!</v>
      </c>
      <c r="AK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+'[9]Natural Gas'!C20+[9]Ontario!C20+[9]Finance!C20+[9]Executive!C20+[9]Alberta!C20</f>
        <v>0</v>
      </c>
      <c r="E20" s="62" t="n">
        <f aca="false">(+'[9]Natural Gas'!E20+[9]Ontario!E20+[9]Finance!E20+[9]Executive!E20+[9]Alberta!E20)*1.2</f>
        <v>0</v>
      </c>
      <c r="G20" s="58" t="n">
        <f aca="false">(E20/$E$29)*$G$29</f>
        <v>0</v>
      </c>
      <c r="H20" s="0" t="s">
        <v>124</v>
      </c>
      <c r="I20" s="43" t="n">
        <v>78000</v>
      </c>
      <c r="J20" s="0" t="n">
        <v>0</v>
      </c>
      <c r="K20" s="0" t="n">
        <f aca="false">I20*J20</f>
        <v>0</v>
      </c>
      <c r="O20" s="58" t="e">
        <f aca="false">+G20/$G$29*$O$29</f>
        <v>#DIV/0!</v>
      </c>
      <c r="AK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+'[9]Natural Gas'!C21+[9]Ontario!C21+[9]Finance!C21+[9]Executive!C21+[9]Alberta!C21</f>
        <v>19769.17</v>
      </c>
      <c r="E21" s="62" t="n">
        <f aca="false">(+'[9]Natural Gas'!E21+[9]Ontario!E21+[9]Finance!E21+[9]Executive!E21+[9]Alberta!E21)*1.2</f>
        <v>31630.6720000001</v>
      </c>
      <c r="G21" s="58" t="n">
        <f aca="false">(E21/$E$29)*$G$29</f>
        <v>0</v>
      </c>
      <c r="H21" s="0" t="s">
        <v>127</v>
      </c>
      <c r="I21" s="43" t="n">
        <v>66000</v>
      </c>
      <c r="J21" s="0" t="n">
        <v>0</v>
      </c>
      <c r="K21" s="0" t="n">
        <f aca="false">I21*J21</f>
        <v>0</v>
      </c>
      <c r="O21" s="58" t="e">
        <f aca="false">+G21/$G$29*$O$29</f>
        <v>#DIV/0!</v>
      </c>
      <c r="AK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+'[9]Natural Gas'!C22+[9]Ontario!C22+[9]Finance!C22+[9]Executive!C22+[9]Alberta!C22</f>
        <v>6106.70000000001</v>
      </c>
      <c r="E22" s="62" t="n">
        <f aca="false">(+'[9]Natural Gas'!E22+[9]Ontario!E22+[9]Finance!E22+[9]Executive!E22+[9]Alberta!E22)*1.2</f>
        <v>9770.72000000001</v>
      </c>
      <c r="G22" s="58" t="n">
        <f aca="false">(E22/$E$29)*$G$29</f>
        <v>0</v>
      </c>
      <c r="H22" s="0" t="s">
        <v>130</v>
      </c>
      <c r="I22" s="43" t="n">
        <v>97200</v>
      </c>
      <c r="J22" s="0" t="n">
        <v>0</v>
      </c>
      <c r="K22" s="0" t="n">
        <f aca="false">I22*J22</f>
        <v>0</v>
      </c>
      <c r="O22" s="58" t="e">
        <f aca="false">+G22/$G$29*$O$29</f>
        <v>#DIV/0!</v>
      </c>
      <c r="AK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4145276.52</v>
      </c>
      <c r="E23" s="68" t="n">
        <f aca="false">SUM(E8:E22)</f>
        <v>5787481.25866667</v>
      </c>
      <c r="G23" s="68" t="n">
        <f aca="false">SUM(G8:G22)</f>
        <v>0</v>
      </c>
      <c r="H23" s="0" t="s">
        <v>133</v>
      </c>
      <c r="I23" s="43" t="n">
        <v>120000</v>
      </c>
      <c r="J23" s="0" t="n">
        <v>0</v>
      </c>
      <c r="K23" s="0" t="n">
        <f aca="false">I23*J23</f>
        <v>0</v>
      </c>
      <c r="O23" s="68" t="e">
        <f aca="false">SUM(O8:O22)</f>
        <v>#DIV/0!</v>
      </c>
      <c r="AK23" s="70"/>
    </row>
    <row r="24" customFormat="false" ht="12.75" hidden="false" customHeight="false" outlineLevel="0" collapsed="false">
      <c r="H24" s="0" t="s">
        <v>134</v>
      </c>
      <c r="I24" s="43" t="n">
        <v>156000</v>
      </c>
      <c r="J24" s="0" t="n">
        <v>0</v>
      </c>
      <c r="K24" s="0" t="n">
        <f aca="false">I24*J24</f>
        <v>0</v>
      </c>
      <c r="AK24" s="21"/>
    </row>
    <row r="25" customFormat="false" ht="12.75" hidden="false" customHeight="false" outlineLevel="0" collapsed="false">
      <c r="B25" s="67" t="s">
        <v>9</v>
      </c>
      <c r="C25" s="3"/>
      <c r="E25" s="95" t="n">
        <f aca="false">+'[9]Natural Gas'!E25+[9]Ontario!E25+[9]Finance!E25+[9]Executive!E25+[9]Alberta!E25</f>
        <v>30</v>
      </c>
      <c r="G25" s="95" t="n">
        <f aca="false">SUM(J16:J20,J23:J27)</f>
        <v>0</v>
      </c>
      <c r="H25" s="0" t="s">
        <v>135</v>
      </c>
      <c r="I25" s="43" t="n">
        <v>180000</v>
      </c>
      <c r="J25" s="0" t="n">
        <v>0</v>
      </c>
      <c r="K25" s="0" t="n">
        <f aca="false">I25*J25</f>
        <v>0</v>
      </c>
      <c r="O25" s="71" t="n">
        <f aca="false">SUM(U16:U20,U23:U27)</f>
        <v>0</v>
      </c>
      <c r="AK25" s="58"/>
    </row>
    <row r="26" customFormat="false" ht="12.75" hidden="false" customHeight="false" outlineLevel="0" collapsed="false">
      <c r="C26" s="58"/>
      <c r="E26" s="57"/>
      <c r="G26" s="57"/>
      <c r="H26" s="0" t="s">
        <v>136</v>
      </c>
      <c r="I26" s="43" t="n">
        <v>216000</v>
      </c>
      <c r="J26" s="0" t="n">
        <v>0</v>
      </c>
      <c r="K26" s="0" t="n">
        <f aca="false">I26*J26</f>
        <v>0</v>
      </c>
      <c r="O26" s="58"/>
      <c r="AK26" s="58"/>
    </row>
    <row r="27" customFormat="false" ht="12.75" hidden="false" customHeight="false" outlineLevel="0" collapsed="false">
      <c r="B27" s="67" t="s">
        <v>178</v>
      </c>
      <c r="C27" s="58"/>
      <c r="E27" s="95" t="n">
        <f aca="false">+'[9]Natural Gas'!E27+[9]Ontario!E27+[9]Finance!E27+[9]Executive!E27+[9]Alberta!E27</f>
        <v>20</v>
      </c>
      <c r="G27" s="95" t="n">
        <f aca="false">SUM(J21:J22)</f>
        <v>0</v>
      </c>
      <c r="H27" s="0" t="s">
        <v>185</v>
      </c>
      <c r="I27" s="43" t="n">
        <v>240000</v>
      </c>
      <c r="J27" s="0" t="n">
        <v>0</v>
      </c>
      <c r="K27" s="0" t="n">
        <f aca="false">I27*J27</f>
        <v>0</v>
      </c>
      <c r="O27" s="71" t="n">
        <f aca="false">+U21+U22</f>
        <v>0</v>
      </c>
      <c r="AK27" s="58"/>
    </row>
    <row r="28" customFormat="false" ht="12.75" hidden="false" customHeight="false" outlineLevel="0" collapsed="false">
      <c r="J28" s="0" t="n">
        <f aca="false">SUM(J16:J27)</f>
        <v>0</v>
      </c>
      <c r="K28" s="0" t="n">
        <f aca="false">SUM(K16:K27)*1.2</f>
        <v>0</v>
      </c>
      <c r="AK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50</v>
      </c>
      <c r="F29" s="58"/>
      <c r="G29" s="71" t="n">
        <f aca="false">+G27+G25</f>
        <v>0</v>
      </c>
      <c r="H29" s="60"/>
      <c r="O29" s="71" t="n">
        <v>1</v>
      </c>
      <c r="AK29" s="58"/>
    </row>
    <row r="30" customFormat="false" ht="12.75" hidden="true" customHeight="false" outlineLevel="0" collapsed="false"/>
    <row r="31" customFormat="false" ht="12.75" hidden="true" customHeight="false" outlineLevel="0" collapsed="false">
      <c r="A31" s="56" t="s">
        <v>186</v>
      </c>
      <c r="B31" s="57" t="s">
        <v>187</v>
      </c>
      <c r="C31" s="58"/>
      <c r="E31" s="58"/>
      <c r="G31" s="16" t="s">
        <v>140</v>
      </c>
      <c r="H31" s="43"/>
      <c r="J31" s="43"/>
    </row>
    <row r="32" customFormat="false" ht="12.75" hidden="true" customHeight="false" outlineLevel="0" collapsed="false">
      <c r="A32" s="56" t="s">
        <v>188</v>
      </c>
      <c r="B32" s="57"/>
      <c r="C32" s="58"/>
      <c r="E32" s="58"/>
      <c r="H32" s="43"/>
      <c r="J32" s="43"/>
    </row>
    <row r="33" customFormat="false" ht="12.75" hidden="true" customHeight="false" outlineLevel="0" collapsed="false">
      <c r="A33" s="56" t="s">
        <v>189</v>
      </c>
      <c r="B33" s="57"/>
      <c r="C33" s="58"/>
      <c r="E33" s="58"/>
      <c r="G33" s="73" t="s">
        <v>141</v>
      </c>
      <c r="H33" s="74" t="s">
        <v>142</v>
      </c>
      <c r="I33" s="74" t="s">
        <v>143</v>
      </c>
      <c r="J33" s="74" t="s">
        <v>86</v>
      </c>
      <c r="K33" s="74" t="s">
        <v>144</v>
      </c>
    </row>
    <row r="34" customFormat="false" ht="12.75" hidden="true" customHeight="false" outlineLevel="0" collapsed="false">
      <c r="A34" s="56" t="s">
        <v>190</v>
      </c>
      <c r="B34" s="57"/>
      <c r="C34" s="58"/>
      <c r="E34" s="58"/>
      <c r="G34" s="75" t="n">
        <f aca="false">SUM(E12:E22)</f>
        <v>1562675.392</v>
      </c>
      <c r="H34" s="74" t="n">
        <f aca="false">+E29</f>
        <v>50</v>
      </c>
      <c r="I34" s="74" t="n">
        <f aca="false">+G34/H34</f>
        <v>31253.50784</v>
      </c>
      <c r="J34" s="74" t="n">
        <f aca="false">+J11</f>
        <v>0</v>
      </c>
      <c r="K34" s="74" t="n">
        <f aca="false">+I34*J34</f>
        <v>0</v>
      </c>
    </row>
    <row r="35" customFormat="false" ht="12.75" hidden="true" customHeight="false" outlineLevel="0" collapsed="false">
      <c r="A35" s="56" t="s">
        <v>191</v>
      </c>
      <c r="B35" s="57"/>
      <c r="C35" s="58"/>
      <c r="E35" s="58"/>
    </row>
    <row r="36" customFormat="false" ht="12.75" hidden="true" customHeight="false" outlineLevel="0" collapsed="false">
      <c r="A36" s="56" t="s">
        <v>192</v>
      </c>
      <c r="B36" s="57"/>
      <c r="C36" s="58"/>
      <c r="E36" s="58"/>
    </row>
    <row r="37" customFormat="false" ht="12.75" hidden="true" customHeight="false" outlineLevel="0" collapsed="false">
      <c r="A37" s="56" t="s">
        <v>193</v>
      </c>
      <c r="B37" s="57"/>
      <c r="C37" s="58"/>
      <c r="E37" s="58"/>
    </row>
    <row r="38" customFormat="false" ht="12.75" hidden="true" customHeight="false" outlineLevel="0" collapsed="false">
      <c r="A38" s="56" t="s">
        <v>194</v>
      </c>
      <c r="B38" s="57"/>
      <c r="C38" s="58"/>
      <c r="E38" s="58"/>
    </row>
    <row r="39" customFormat="false" ht="12.75" hidden="true" customHeight="false" outlineLevel="0" collapsed="false">
      <c r="B39" s="57"/>
      <c r="C39" s="58"/>
      <c r="E39" s="58"/>
    </row>
    <row r="40" customFormat="false" ht="12.75" hidden="true" customHeight="false" outlineLevel="0" collapsed="false">
      <c r="B40" s="57"/>
      <c r="C40" s="58"/>
      <c r="E40" s="58"/>
    </row>
    <row r="41" customFormat="false" ht="12.75" hidden="true" customHeight="false" outlineLevel="0" collapsed="false">
      <c r="B41" s="57"/>
      <c r="C41" s="58"/>
      <c r="E41" s="58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96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9" min="8" style="0" width="9.14"/>
    <col collapsed="false" customWidth="true" hidden="true" outlineLevel="0" max="10" min="10" style="0" width="12.99"/>
    <col collapsed="false" customWidth="true" hidden="true" outlineLevel="0" max="11" min="11" style="43" width="10.41"/>
    <col collapsed="false" customWidth="true" hidden="true" outlineLevel="0" max="12" min="12" style="43" width="10.85"/>
    <col collapsed="false" customWidth="true" hidden="true" outlineLevel="0" max="13" min="13" style="43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22" min="19" style="0" width="9.14"/>
    <col collapsed="false" customWidth="false" hidden="true" outlineLevel="0" max="52" min="23" style="0" width="9.06"/>
  </cols>
  <sheetData>
    <row r="1" customFormat="false" ht="18" hidden="false" customHeight="false" outlineLevel="0" collapsed="false">
      <c r="B1" s="44" t="str">
        <f aca="false">'[11]Team Report'!B1</f>
        <v>Enron North America</v>
      </c>
      <c r="C1" s="44"/>
      <c r="D1" s="44"/>
      <c r="E1" s="44"/>
      <c r="F1" s="44"/>
      <c r="G1" s="44"/>
      <c r="H1" s="44"/>
      <c r="I1" s="46"/>
      <c r="J1" s="46"/>
      <c r="K1" s="45"/>
      <c r="L1" s="45"/>
      <c r="M1" s="45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217</v>
      </c>
      <c r="C2" s="44"/>
      <c r="D2" s="44"/>
      <c r="E2" s="44"/>
      <c r="F2" s="44"/>
      <c r="G2" s="44"/>
      <c r="H2" s="44"/>
      <c r="I2" s="46"/>
      <c r="J2" s="46"/>
      <c r="K2" s="45"/>
      <c r="L2" s="45"/>
      <c r="M2" s="45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8"/>
      <c r="J3" s="48"/>
      <c r="K3" s="45"/>
      <c r="L3" s="45"/>
      <c r="M3" s="45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3.5" hidden="false" customHeight="false" outlineLevel="0" collapsed="false">
      <c r="J4" s="97" t="s">
        <v>218</v>
      </c>
      <c r="K4" s="97"/>
      <c r="L4" s="97"/>
      <c r="M4" s="97"/>
      <c r="O4" s="97" t="s">
        <v>219</v>
      </c>
      <c r="P4" s="97"/>
      <c r="Q4" s="97"/>
      <c r="R4" s="97"/>
    </row>
    <row r="5" customFormat="false" ht="12.75" hidden="false" customHeight="false" outlineLevel="0" collapsed="false">
      <c r="J5" s="79"/>
      <c r="K5" s="50"/>
      <c r="L5" s="50"/>
      <c r="M5" s="51"/>
      <c r="N5" s="21"/>
      <c r="O5" s="79"/>
      <c r="P5" s="50"/>
      <c r="Q5" s="50"/>
      <c r="R5" s="51"/>
    </row>
    <row r="6" customFormat="false" ht="12.75" hidden="false" customHeight="false" outlineLevel="0" collapsed="false">
      <c r="C6" s="54" t="n">
        <v>37135</v>
      </c>
      <c r="E6" s="54" t="s">
        <v>88</v>
      </c>
      <c r="F6" s="54" t="s">
        <v>90</v>
      </c>
      <c r="H6" s="54" t="s">
        <v>180</v>
      </c>
      <c r="J6" s="82"/>
      <c r="K6" s="74" t="s">
        <v>85</v>
      </c>
      <c r="L6" s="74" t="s">
        <v>86</v>
      </c>
      <c r="M6" s="98" t="s">
        <v>196</v>
      </c>
      <c r="N6" s="21"/>
      <c r="O6" s="82"/>
      <c r="P6" s="74" t="s">
        <v>85</v>
      </c>
      <c r="Q6" s="74" t="s">
        <v>86</v>
      </c>
      <c r="R6" s="98" t="s">
        <v>196</v>
      </c>
      <c r="V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 t="s">
        <v>94</v>
      </c>
      <c r="H7" s="55" t="s">
        <v>181</v>
      </c>
      <c r="J7" s="82"/>
      <c r="M7" s="53"/>
      <c r="N7" s="21"/>
      <c r="O7" s="82"/>
      <c r="P7" s="43"/>
      <c r="Q7" s="43"/>
      <c r="R7" s="53"/>
      <c r="V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99" t="n">
        <f aca="false">'[11]Team Report'!BA25</f>
        <v>4985502.23</v>
      </c>
      <c r="E8" s="58" t="n">
        <f aca="false">M28</f>
        <v>4339200</v>
      </c>
      <c r="F8" s="58" t="n">
        <f aca="false">+M17+M18+M19+M21+M22+M23+M24+M25+M26+M27</f>
        <v>4224000</v>
      </c>
      <c r="J8" s="82"/>
      <c r="M8" s="53"/>
      <c r="N8" s="21"/>
      <c r="O8" s="82"/>
      <c r="P8" s="43"/>
      <c r="Q8" s="43"/>
      <c r="R8" s="53"/>
      <c r="V8" s="58" t="n">
        <f aca="false">+F8/$F$29*$V$29</f>
        <v>93866.6666666667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(C9/9)*12</f>
        <v>0</v>
      </c>
      <c r="F9" s="58" t="n">
        <v>0</v>
      </c>
      <c r="J9" s="82" t="s">
        <v>96</v>
      </c>
      <c r="K9" s="43" t="n">
        <v>0</v>
      </c>
      <c r="L9" s="43" t="n">
        <f aca="false">L28</f>
        <v>45</v>
      </c>
      <c r="M9" s="53" t="n">
        <f aca="false">+M32</f>
        <v>5207040</v>
      </c>
      <c r="N9" s="21"/>
      <c r="O9" s="82" t="s">
        <v>96</v>
      </c>
      <c r="P9" s="43" t="n">
        <v>0</v>
      </c>
      <c r="Q9" s="43" t="n">
        <f aca="false">Q28</f>
        <v>7</v>
      </c>
      <c r="R9" s="53" t="n">
        <f aca="false">+R32</f>
        <v>740160</v>
      </c>
      <c r="V9" s="58" t="n">
        <f aca="false">+F9/$F$29*$V$29</f>
        <v>0</v>
      </c>
    </row>
    <row r="10" customFormat="false" ht="12.75" hidden="false" customHeight="false" outlineLevel="0" collapsed="false">
      <c r="A10" s="56"/>
      <c r="B10" s="57" t="s">
        <v>198</v>
      </c>
      <c r="C10" s="58" t="n">
        <v>0</v>
      </c>
      <c r="E10" s="58" t="n">
        <f aca="false">(C10/9)*12</f>
        <v>0</v>
      </c>
      <c r="F10" s="58" t="n">
        <f aca="false">M20</f>
        <v>115200</v>
      </c>
      <c r="J10" s="82"/>
      <c r="M10" s="53"/>
      <c r="N10" s="21"/>
      <c r="O10" s="82"/>
      <c r="P10" s="43"/>
      <c r="Q10" s="43"/>
      <c r="R10" s="53"/>
      <c r="V10" s="58" t="n">
        <f aca="false">+F10/$F$29*$V$29</f>
        <v>2560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'[11]Team Report'!BA26</f>
        <v>1210281.11</v>
      </c>
      <c r="E11" s="58" t="n">
        <f aca="false">M32</f>
        <v>5207040</v>
      </c>
      <c r="F11" s="58" t="n">
        <f aca="false">(F8+F10)*0.2</f>
        <v>867840</v>
      </c>
      <c r="H11" s="0" t="n">
        <v>1.2</v>
      </c>
      <c r="J11" s="82"/>
      <c r="M11" s="53"/>
      <c r="N11" s="21"/>
      <c r="O11" s="82"/>
      <c r="P11" s="43"/>
      <c r="Q11" s="43"/>
      <c r="R11" s="53"/>
      <c r="V11" s="58" t="n">
        <f aca="false">+F11/$F$29*$V$29</f>
        <v>19285.3333333333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'[11]Team Report'!BA27</f>
        <v>190029.97</v>
      </c>
      <c r="E12" s="58" t="n">
        <f aca="false">(C12/9)*12</f>
        <v>253373.293333333</v>
      </c>
      <c r="F12" s="58" t="n">
        <f aca="false">(E12/$E$29*46)+220000</f>
        <v>333157.004789644</v>
      </c>
      <c r="J12" s="82" t="s">
        <v>67</v>
      </c>
      <c r="K12" s="43" t="n">
        <f aca="false">(E12+E13+E14+E15+E16+E17+E18+E19+E20+E21+22)/E29</f>
        <v>5823.46990291262</v>
      </c>
      <c r="L12" s="43" t="n">
        <f aca="false">L28</f>
        <v>45</v>
      </c>
      <c r="M12" s="53" t="n">
        <f aca="false">K12*L12+600000+704684</f>
        <v>1566740.14563107</v>
      </c>
      <c r="N12" s="21"/>
      <c r="O12" s="82" t="s">
        <v>67</v>
      </c>
      <c r="P12" s="43" t="n">
        <f aca="false">K12</f>
        <v>5823.46990291262</v>
      </c>
      <c r="Q12" s="43" t="n">
        <f aca="false">Q28</f>
        <v>7</v>
      </c>
      <c r="R12" s="53" t="n">
        <f aca="false">P12*Q12+360000-3367</f>
        <v>397397.289320388</v>
      </c>
      <c r="V12" s="58" t="n">
        <f aca="false">+F12/$F$29*$V$29</f>
        <v>7403.48899532542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'[11]Team Report'!BA28</f>
        <v>78390.58</v>
      </c>
      <c r="E13" s="58" t="n">
        <f aca="false">(C13/9)*12</f>
        <v>104520.773333333</v>
      </c>
      <c r="F13" s="58" t="n">
        <f aca="false">(E13/$E$29*43)</f>
        <v>43634.8859546926</v>
      </c>
      <c r="J13" s="82"/>
      <c r="M13" s="53"/>
      <c r="N13" s="21"/>
      <c r="O13" s="82"/>
      <c r="P13" s="43"/>
      <c r="Q13" s="43"/>
      <c r="R13" s="53"/>
      <c r="V13" s="58" t="n">
        <f aca="false">+F13/$F$29*$V$29</f>
        <v>969.664132326501</v>
      </c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v>0</v>
      </c>
      <c r="E14" s="58" t="n">
        <f aca="false">(C14/9)*12</f>
        <v>0</v>
      </c>
      <c r="F14" s="58" t="n">
        <f aca="false">700000+300000</f>
        <v>1000000</v>
      </c>
      <c r="J14" s="87" t="s">
        <v>105</v>
      </c>
      <c r="K14" s="64"/>
      <c r="L14" s="64"/>
      <c r="M14" s="65" t="n">
        <f aca="false">SUM(M9:M12)</f>
        <v>6773780.14563107</v>
      </c>
      <c r="N14" s="21"/>
      <c r="O14" s="87" t="s">
        <v>105</v>
      </c>
      <c r="P14" s="64"/>
      <c r="Q14" s="64"/>
      <c r="R14" s="65" t="n">
        <f aca="false">SUM(R9:R12)</f>
        <v>1137557.28932039</v>
      </c>
      <c r="V14" s="58" t="n">
        <f aca="false">+F14/$F$29*$V$29</f>
        <v>22222.2222222222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'[11]Team Report'!BA33</f>
        <v>69921.63</v>
      </c>
      <c r="E15" s="58" t="n">
        <f aca="false">(C15/9)*12</f>
        <v>93228.84</v>
      </c>
      <c r="F15" s="58" t="n">
        <f aca="false">(E15/$E$29*46)+75000</f>
        <v>116636.180970874</v>
      </c>
      <c r="J15" s="21"/>
      <c r="N15" s="21"/>
      <c r="V15" s="58" t="n">
        <f aca="false">+F15/$F$29*$V$29</f>
        <v>2591.91513268608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'[11]Team Report'!BA34</f>
        <v>0</v>
      </c>
      <c r="E16" s="58" t="n">
        <f aca="false">(C16/9)*12</f>
        <v>0</v>
      </c>
      <c r="F16" s="58" t="n">
        <f aca="false">E16/$E$29*46</f>
        <v>0</v>
      </c>
      <c r="I16" s="60" t="n">
        <f aca="false">M14-F23</f>
        <v>-305823.654110033</v>
      </c>
      <c r="J16" s="21"/>
      <c r="M16" s="43" t="n">
        <f aca="false">N16-F23</f>
        <v>831733.635210356</v>
      </c>
      <c r="N16" s="105" t="n">
        <f aca="false">M14+R14</f>
        <v>7911337.43495146</v>
      </c>
      <c r="V16" s="58" t="n">
        <f aca="false">+F16/$F$29*$V$29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'[11]Team Report'!BA35</f>
        <v>0</v>
      </c>
      <c r="E17" s="58" t="n">
        <f aca="false">(C17/9)*12</f>
        <v>0</v>
      </c>
      <c r="F17" s="58" t="n">
        <f aca="false">E17/$E$29*46</f>
        <v>0</v>
      </c>
      <c r="J17" s="21" t="s">
        <v>177</v>
      </c>
      <c r="K17" s="43" t="n">
        <f aca="false">(30000*1.2)</f>
        <v>36000</v>
      </c>
      <c r="L17" s="0" t="n">
        <v>0</v>
      </c>
      <c r="M17" s="43" t="n">
        <f aca="false">K17*L17</f>
        <v>0</v>
      </c>
      <c r="O17" s="21" t="s">
        <v>177</v>
      </c>
      <c r="P17" s="43" t="n">
        <f aca="false">(30000*1.2)</f>
        <v>36000</v>
      </c>
      <c r="Q17" s="21" t="n">
        <v>1</v>
      </c>
      <c r="R17" s="60" t="n">
        <f aca="false">P17*Q17</f>
        <v>36000</v>
      </c>
      <c r="V17" s="58" t="n">
        <f aca="false">+F17/$F$29*$V$29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'[11]Team Report'!BA36</f>
        <v>19039.67</v>
      </c>
      <c r="E18" s="58" t="n">
        <f aca="false">(C18/9)*12</f>
        <v>25386.2266666667</v>
      </c>
      <c r="F18" s="58" t="n">
        <f aca="false">(E18/$E$29*46)+50000</f>
        <v>61337.5381229774</v>
      </c>
      <c r="J18" s="0" t="s">
        <v>220</v>
      </c>
      <c r="K18" s="43" t="n">
        <f aca="false">(40000*1.2)*1.2</f>
        <v>57600</v>
      </c>
      <c r="L18" s="0" t="n">
        <v>4</v>
      </c>
      <c r="M18" s="43" t="n">
        <f aca="false">K18*L18</f>
        <v>230400</v>
      </c>
      <c r="O18" s="0" t="s">
        <v>220</v>
      </c>
      <c r="P18" s="43" t="n">
        <f aca="false">(40000*1.2)*1.2</f>
        <v>57600</v>
      </c>
      <c r="Q18" s="0" t="n">
        <v>1</v>
      </c>
      <c r="R18" s="60" t="n">
        <f aca="false">P18*Q18</f>
        <v>57600</v>
      </c>
      <c r="V18" s="58" t="n">
        <f aca="false">+F18/$F$29*$V$29</f>
        <v>1363.05640273283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'[11]Team Report'!BA37</f>
        <v>17422.02</v>
      </c>
      <c r="E19" s="58" t="n">
        <f aca="false">(C19/9)*12</f>
        <v>23229.36</v>
      </c>
      <c r="F19" s="58" t="n">
        <f aca="false">(E19/$E$29*46)+136897</f>
        <v>147271.277281553</v>
      </c>
      <c r="J19" s="0" t="s">
        <v>118</v>
      </c>
      <c r="K19" s="43" t="n">
        <v>49200</v>
      </c>
      <c r="L19" s="0" t="n">
        <v>2</v>
      </c>
      <c r="M19" s="43" t="n">
        <f aca="false">K19*L19</f>
        <v>98400</v>
      </c>
      <c r="O19" s="0" t="s">
        <v>118</v>
      </c>
      <c r="P19" s="43" t="n">
        <v>49200</v>
      </c>
      <c r="Q19" s="0" t="n">
        <v>1</v>
      </c>
      <c r="R19" s="60" t="n">
        <f aca="false">P19*Q19</f>
        <v>49200</v>
      </c>
      <c r="V19" s="58" t="n">
        <f aca="false">+F19/$F$29*$V$29</f>
        <v>3272.69505070119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'[11]Team Report'!BA38</f>
        <v>0</v>
      </c>
      <c r="E20" s="58" t="n">
        <f aca="false">(C20/9)*12</f>
        <v>0</v>
      </c>
      <c r="F20" s="58" t="n">
        <f aca="false">E20/$E$29*46</f>
        <v>0</v>
      </c>
      <c r="J20" s="0" t="s">
        <v>221</v>
      </c>
      <c r="K20" s="43" t="n">
        <v>57600</v>
      </c>
      <c r="L20" s="0" t="n">
        <v>2</v>
      </c>
      <c r="M20" s="43" t="n">
        <f aca="false">K20*L20</f>
        <v>115200</v>
      </c>
      <c r="O20" s="0" t="s">
        <v>221</v>
      </c>
      <c r="P20" s="43" t="n">
        <v>57600</v>
      </c>
      <c r="Q20" s="0" t="n">
        <v>0</v>
      </c>
      <c r="R20" s="60" t="n">
        <f aca="false">P20*Q20</f>
        <v>0</v>
      </c>
      <c r="V20" s="58" t="n">
        <f aca="false">+F20/$F$29*$V$29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'[11]Team Report'!BA42</f>
        <v>75042.68</v>
      </c>
      <c r="E21" s="58" t="n">
        <f aca="false">(C21/9)*12</f>
        <v>100056.906666667</v>
      </c>
      <c r="F21" s="58" t="n">
        <f aca="false">(E21/$E$29*46)+125000</f>
        <v>169685.608802589</v>
      </c>
      <c r="J21" s="0" t="s">
        <v>121</v>
      </c>
      <c r="K21" s="43" t="n">
        <v>62400</v>
      </c>
      <c r="L21" s="0" t="n">
        <v>7</v>
      </c>
      <c r="M21" s="43" t="n">
        <f aca="false">K21*L21</f>
        <v>436800</v>
      </c>
      <c r="O21" s="0" t="s">
        <v>121</v>
      </c>
      <c r="P21" s="43" t="n">
        <v>62400</v>
      </c>
      <c r="Q21" s="0" t="n">
        <v>0</v>
      </c>
      <c r="R21" s="60" t="n">
        <f aca="false">P21*Q21</f>
        <v>0</v>
      </c>
      <c r="V21" s="58" t="n">
        <f aca="false">+F21/$F$29*$V$29</f>
        <v>3770.7913067242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'[11]Team Report'!BA44</f>
        <v>1226.24</v>
      </c>
      <c r="E22" s="58" t="n">
        <f aca="false">(C22/9)*12</f>
        <v>1634.98666666667</v>
      </c>
      <c r="F22" s="58" t="n">
        <f aca="false">E22/$E$29*53</f>
        <v>841.303818770227</v>
      </c>
      <c r="J22" s="0" t="s">
        <v>222</v>
      </c>
      <c r="K22" s="43" t="n">
        <v>74400</v>
      </c>
      <c r="L22" s="0" t="n">
        <v>11</v>
      </c>
      <c r="M22" s="43" t="n">
        <f aca="false">K22*L22</f>
        <v>818400</v>
      </c>
      <c r="O22" s="0" t="s">
        <v>222</v>
      </c>
      <c r="P22" s="43" t="n">
        <v>74400</v>
      </c>
      <c r="Q22" s="0" t="n">
        <v>0</v>
      </c>
      <c r="R22" s="60" t="n">
        <f aca="false">P22*Q22</f>
        <v>0</v>
      </c>
      <c r="V22" s="58" t="n">
        <f aca="false">+F22/$F$29*$V$29</f>
        <v>18.6956404171161</v>
      </c>
    </row>
    <row r="23" customFormat="false" ht="13.5" hidden="false" customHeight="false" outlineLevel="0" collapsed="false">
      <c r="A23" s="66" t="s">
        <v>131</v>
      </c>
      <c r="B23" s="67" t="s">
        <v>132</v>
      </c>
      <c r="C23" s="68" t="n">
        <f aca="false">SUM(C8:C22)</f>
        <v>6646856.13</v>
      </c>
      <c r="E23" s="71" t="n">
        <f aca="false">SUM(E8:E22)</f>
        <v>10147670.3866667</v>
      </c>
      <c r="F23" s="71" t="n">
        <f aca="false">SUM(F8:F22)</f>
        <v>7079603.7997411</v>
      </c>
      <c r="J23" s="0" t="s">
        <v>223</v>
      </c>
      <c r="K23" s="43" t="n">
        <v>90000</v>
      </c>
      <c r="L23" s="0" t="n">
        <v>9</v>
      </c>
      <c r="M23" s="43" t="n">
        <f aca="false">K23*L23</f>
        <v>810000</v>
      </c>
      <c r="O23" s="0" t="s">
        <v>223</v>
      </c>
      <c r="P23" s="43" t="n">
        <v>90000</v>
      </c>
      <c r="Q23" s="0" t="n">
        <v>2</v>
      </c>
      <c r="R23" s="60" t="n">
        <f aca="false">P23*Q23</f>
        <v>180000</v>
      </c>
      <c r="V23" s="90" t="n">
        <f aca="false">SUM(V8:V22)</f>
        <v>157324.528883136</v>
      </c>
    </row>
    <row r="24" customFormat="false" ht="12.75" hidden="false" customHeight="false" outlineLevel="0" collapsed="false">
      <c r="J24" s="0" t="s">
        <v>224</v>
      </c>
      <c r="K24" s="43" t="n">
        <v>120000</v>
      </c>
      <c r="L24" s="0" t="n">
        <v>4</v>
      </c>
      <c r="M24" s="43" t="n">
        <f aca="false">K24*L24</f>
        <v>480000</v>
      </c>
      <c r="O24" s="0" t="s">
        <v>224</v>
      </c>
      <c r="P24" s="43" t="n">
        <v>120000</v>
      </c>
      <c r="Q24" s="0" t="n">
        <v>1</v>
      </c>
      <c r="R24" s="60" t="n">
        <f aca="false">P24*Q24</f>
        <v>120000</v>
      </c>
    </row>
    <row r="25" customFormat="false" ht="12.75" hidden="false" customHeight="false" outlineLevel="0" collapsed="false">
      <c r="B25" s="67" t="s">
        <v>9</v>
      </c>
      <c r="C25" s="101"/>
      <c r="E25" s="101" t="n">
        <v>99</v>
      </c>
      <c r="F25" s="101" t="n">
        <f aca="false">SUM(L17:L19,L21:L27)</f>
        <v>43</v>
      </c>
      <c r="J25" s="0" t="s">
        <v>225</v>
      </c>
      <c r="K25" s="43" t="n">
        <v>174000</v>
      </c>
      <c r="L25" s="0" t="n">
        <v>1</v>
      </c>
      <c r="M25" s="43" t="n">
        <f aca="false">K25*L25</f>
        <v>174000</v>
      </c>
      <c r="O25" s="0" t="s">
        <v>225</v>
      </c>
      <c r="P25" s="43" t="n">
        <v>174000</v>
      </c>
      <c r="Q25" s="0" t="n">
        <v>1</v>
      </c>
      <c r="R25" s="60" t="n">
        <f aca="false">P25*Q25</f>
        <v>174000</v>
      </c>
      <c r="V25" s="71" t="n">
        <f aca="false">SUM(AB16:AB20,AB23:AB27)</f>
        <v>0</v>
      </c>
    </row>
    <row r="26" customFormat="false" ht="12.75" hidden="false" customHeight="false" outlineLevel="0" collapsed="false">
      <c r="J26" s="0" t="s">
        <v>226</v>
      </c>
      <c r="K26" s="43" t="n">
        <v>216000</v>
      </c>
      <c r="L26" s="0" t="n">
        <v>4</v>
      </c>
      <c r="M26" s="43" t="n">
        <f aca="false">K26*L26</f>
        <v>864000</v>
      </c>
      <c r="O26" s="0" t="s">
        <v>226</v>
      </c>
      <c r="P26" s="43" t="n">
        <v>216000</v>
      </c>
      <c r="R26" s="60" t="n">
        <f aca="false">P26*Q26</f>
        <v>0</v>
      </c>
      <c r="V26" s="58"/>
    </row>
    <row r="27" customFormat="false" ht="12.75" hidden="false" customHeight="false" outlineLevel="0" collapsed="false">
      <c r="B27" s="67" t="s">
        <v>137</v>
      </c>
      <c r="C27" s="101"/>
      <c r="E27" s="101" t="n">
        <v>4</v>
      </c>
      <c r="F27" s="101" t="n">
        <v>2</v>
      </c>
      <c r="J27" s="0" t="s">
        <v>227</v>
      </c>
      <c r="K27" s="43" t="n">
        <v>312000</v>
      </c>
      <c r="L27" s="0" t="n">
        <v>1</v>
      </c>
      <c r="M27" s="43" t="n">
        <f aca="false">K27*L27</f>
        <v>312000</v>
      </c>
      <c r="O27" s="0" t="s">
        <v>227</v>
      </c>
      <c r="P27" s="43" t="n">
        <v>312000</v>
      </c>
      <c r="R27" s="60" t="n">
        <f aca="false">P27*Q27</f>
        <v>0</v>
      </c>
      <c r="V27" s="71" t="n">
        <f aca="false">SUM(AB21:AB22)</f>
        <v>0</v>
      </c>
    </row>
    <row r="28" customFormat="false" ht="12.75" hidden="false" customHeight="false" outlineLevel="0" collapsed="false">
      <c r="L28" s="43" t="n">
        <f aca="false">SUM(L17:L27)</f>
        <v>45</v>
      </c>
      <c r="M28" s="43" t="n">
        <f aca="false">SUM(M17:M27)</f>
        <v>4339200</v>
      </c>
      <c r="P28" s="43"/>
      <c r="Q28" s="0" t="n">
        <f aca="false">SUM(Q17:Q27)</f>
        <v>7</v>
      </c>
      <c r="R28" s="60" t="n">
        <f aca="false">SUM(R17:R27)</f>
        <v>616800</v>
      </c>
    </row>
    <row r="29" customFormat="false" ht="12.75" hidden="false" customHeight="false" outlineLevel="0" collapsed="false">
      <c r="B29" s="67" t="s">
        <v>139</v>
      </c>
      <c r="C29" s="101"/>
      <c r="E29" s="101" t="n">
        <f aca="false">SUM(E25:E28)</f>
        <v>103</v>
      </c>
      <c r="F29" s="101" t="n">
        <f aca="false">SUM(F25:F27)</f>
        <v>45</v>
      </c>
      <c r="P29" s="43"/>
      <c r="Q29" s="43"/>
      <c r="V29" s="71" t="n">
        <v>1</v>
      </c>
    </row>
    <row r="30" customFormat="false" ht="12.75" hidden="false" customHeight="false" outlineLevel="0" collapsed="false">
      <c r="B30" s="67"/>
      <c r="J30" s="0" t="s">
        <v>228</v>
      </c>
      <c r="L30" s="72"/>
      <c r="M30" s="72" t="n">
        <v>0.2</v>
      </c>
      <c r="O30" s="0" t="s">
        <v>228</v>
      </c>
      <c r="P30" s="43"/>
      <c r="Q30" s="72"/>
      <c r="R30" s="72" t="n">
        <v>0.2</v>
      </c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'[11]Team Report'!BA29</f>
        <v>0</v>
      </c>
      <c r="E31" s="58" t="n">
        <f aca="false">(C31/9)*12</f>
        <v>0</v>
      </c>
      <c r="F31" s="58"/>
      <c r="P31" s="43"/>
      <c r="Q31" s="43"/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'[11]Team Report'!BA30</f>
        <v>0</v>
      </c>
      <c r="E32" s="58" t="n">
        <f aca="false">(C32/9)*12</f>
        <v>0</v>
      </c>
      <c r="F32" s="58"/>
      <c r="M32" s="43" t="n">
        <f aca="false">M28*1.2</f>
        <v>5207040</v>
      </c>
      <c r="P32" s="43"/>
      <c r="Q32" s="43"/>
      <c r="R32" s="43" t="n">
        <f aca="false">R28*1.2</f>
        <v>740160</v>
      </c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'[11]Team Report'!BA31</f>
        <v>0</v>
      </c>
      <c r="E33" s="58" t="n">
        <f aca="false">(C33/9)*12</f>
        <v>0</v>
      </c>
      <c r="F33" s="58"/>
      <c r="P33" s="43"/>
      <c r="Q33" s="43"/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'[11]Team Report'!BA39</f>
        <v>0</v>
      </c>
      <c r="E34" s="58" t="n">
        <f aca="false">(C34/9)*12</f>
        <v>0</v>
      </c>
      <c r="F34" s="58"/>
      <c r="J34" s="16" t="s">
        <v>140</v>
      </c>
      <c r="N34" s="43"/>
    </row>
    <row r="35" customFormat="false" ht="13.5" hidden="true" customHeight="false" outlineLevel="0" collapsed="false">
      <c r="A35" s="56" t="s">
        <v>191</v>
      </c>
      <c r="B35" s="57" t="s">
        <v>204</v>
      </c>
      <c r="C35" s="58" t="n">
        <f aca="false">'[11]Team Report'!BA40</f>
        <v>24670.39</v>
      </c>
      <c r="E35" s="58" t="n">
        <f aca="false">(C35/9)*12</f>
        <v>32893.8533333333</v>
      </c>
      <c r="F35" s="58"/>
      <c r="J35" s="97" t="s">
        <v>218</v>
      </c>
      <c r="K35" s="97"/>
      <c r="L35" s="97"/>
      <c r="M35" s="97"/>
      <c r="N35" s="43"/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'[11]Team Report'!BA41</f>
        <v>481045.43</v>
      </c>
      <c r="E36" s="58" t="n">
        <f aca="false">(C36/9)*12</f>
        <v>641393.906666667</v>
      </c>
      <c r="F36" s="58"/>
      <c r="J36" s="73" t="s">
        <v>141</v>
      </c>
      <c r="L36" s="74" t="s">
        <v>142</v>
      </c>
      <c r="M36" s="74" t="s">
        <v>143</v>
      </c>
      <c r="N36" s="74" t="s">
        <v>86</v>
      </c>
      <c r="O36" s="74" t="s">
        <v>144</v>
      </c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'[11]Team Report'!BA43</f>
        <v>-771915.88</v>
      </c>
      <c r="E37" s="58" t="n">
        <f aca="false">(C37/9)*12</f>
        <v>-1029221.17333333</v>
      </c>
      <c r="F37" s="58"/>
      <c r="J37" s="75" t="n">
        <f aca="false">SUM(E12:E21)</f>
        <v>599795.4</v>
      </c>
      <c r="L37" s="103" t="n">
        <f aca="false">E29</f>
        <v>103</v>
      </c>
      <c r="M37" s="74" t="n">
        <f aca="false">+J37/L37</f>
        <v>5823.25631067961</v>
      </c>
      <c r="N37" s="103" t="n">
        <v>46</v>
      </c>
      <c r="O37" s="74" t="n">
        <f aca="false">+M37*N37+500000+571398</f>
        <v>1339267.79029126</v>
      </c>
      <c r="P37" s="0" t="s">
        <v>229</v>
      </c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'[11]Team Report'!BA45</f>
        <v>0</v>
      </c>
      <c r="E38" s="58" t="n">
        <f aca="false">(C38/9)*12</f>
        <v>0</v>
      </c>
      <c r="F38" s="58"/>
      <c r="P38" s="0" t="s">
        <v>230</v>
      </c>
    </row>
    <row r="39" customFormat="false" ht="12.75" hidden="false" customHeight="false" outlineLevel="0" collapsed="false">
      <c r="A39" s="56"/>
      <c r="B39" s="57"/>
      <c r="C39" s="58"/>
      <c r="E39" s="58"/>
      <c r="F39" s="58"/>
      <c r="P39" s="0" t="s">
        <v>231</v>
      </c>
    </row>
    <row r="40" customFormat="false" ht="12.75" hidden="false" customHeight="false" outlineLevel="0" collapsed="false">
      <c r="A40" s="56"/>
      <c r="B40" s="57"/>
      <c r="C40" s="58"/>
      <c r="E40" s="58"/>
      <c r="F40" s="58"/>
      <c r="P40" s="0" t="s">
        <v>232</v>
      </c>
    </row>
    <row r="41" customFormat="false" ht="13.5" hidden="false" customHeight="false" outlineLevel="0" collapsed="false">
      <c r="A41" s="56"/>
      <c r="B41" s="57"/>
      <c r="C41" s="58"/>
      <c r="E41" s="58"/>
      <c r="F41" s="58"/>
      <c r="J41" s="97" t="s">
        <v>219</v>
      </c>
      <c r="K41" s="97"/>
      <c r="L41" s="97"/>
      <c r="M41" s="97"/>
      <c r="N41" s="43"/>
      <c r="P41" s="0" t="s">
        <v>233</v>
      </c>
    </row>
    <row r="42" customFormat="false" ht="12.75" hidden="false" customHeight="false" outlineLevel="0" collapsed="false">
      <c r="J42" s="73" t="s">
        <v>141</v>
      </c>
      <c r="L42" s="74" t="s">
        <v>142</v>
      </c>
      <c r="M42" s="74" t="s">
        <v>143</v>
      </c>
      <c r="N42" s="74" t="s">
        <v>86</v>
      </c>
      <c r="O42" s="74" t="s">
        <v>144</v>
      </c>
    </row>
    <row r="43" customFormat="false" ht="12.75" hidden="false" customHeight="false" outlineLevel="0" collapsed="false">
      <c r="J43" s="75" t="n">
        <f aca="false">SUM(E12:E21)</f>
        <v>599795.4</v>
      </c>
      <c r="L43" s="103" t="n">
        <v>103</v>
      </c>
      <c r="M43" s="74" t="n">
        <f aca="false">+J43/L43</f>
        <v>5823.25631067961</v>
      </c>
      <c r="N43" s="103" t="n">
        <v>7</v>
      </c>
      <c r="O43" s="74" t="n">
        <f aca="false">+M43*N43+300000</f>
        <v>340762.794174757</v>
      </c>
      <c r="P43" s="0" t="s">
        <v>234</v>
      </c>
    </row>
    <row r="44" customFormat="false" ht="12.75" hidden="false" customHeight="false" outlineLevel="0" collapsed="false">
      <c r="P44" s="0" t="s">
        <v>235</v>
      </c>
    </row>
    <row r="46" customFormat="false" ht="12.75" hidden="false" customHeight="false" outlineLevel="0" collapsed="false">
      <c r="C46" s="96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false" outlineLevel="0" max="15" min="15" style="0" width="10.71"/>
  </cols>
  <sheetData>
    <row r="1" customFormat="false" ht="18" hidden="false" customHeight="false" outlineLevel="0" collapsed="false">
      <c r="B1" s="44" t="str">
        <f aca="false">'[3]Team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</row>
    <row r="2" customFormat="false" ht="18" hidden="false" customHeight="false" outlineLevel="0" collapsed="false">
      <c r="B2" s="44" t="s">
        <v>145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O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O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v>1025000</v>
      </c>
      <c r="I8" s="52" t="s">
        <v>96</v>
      </c>
      <c r="J8" s="43" t="n">
        <v>0</v>
      </c>
      <c r="L8" s="53" t="n">
        <f aca="false">L30</f>
        <v>1512720</v>
      </c>
      <c r="O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58" t="n">
        <v>0</v>
      </c>
      <c r="G9" s="59" t="n">
        <f aca="false">E9/$E$23</f>
        <v>0</v>
      </c>
      <c r="H9" s="58"/>
      <c r="I9" s="52"/>
      <c r="L9" s="53"/>
      <c r="O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58"/>
      <c r="E10" s="58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59" t="n">
        <f aca="false">E10/$E$23</f>
        <v>0.00377976191391553</v>
      </c>
      <c r="H10" s="58" t="n">
        <v>0</v>
      </c>
      <c r="I10" s="52"/>
      <c r="L10" s="53"/>
      <c r="O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+H8*0.2</f>
        <v>205000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8</v>
      </c>
      <c r="L11" s="53" t="n">
        <f aca="false">J11*K11</f>
        <v>386161.45</v>
      </c>
      <c r="O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v>21875</v>
      </c>
      <c r="I12" s="52"/>
      <c r="L12" s="53"/>
      <c r="O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v>21875</v>
      </c>
      <c r="I13" s="63" t="s">
        <v>105</v>
      </c>
      <c r="J13" s="64"/>
      <c r="K13" s="64"/>
      <c r="L13" s="65" t="n">
        <f aca="false">L8+L11</f>
        <v>1898881.45</v>
      </c>
      <c r="O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v>0</v>
      </c>
      <c r="O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v>17500</v>
      </c>
      <c r="O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O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v>437.5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O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v>0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O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v>87500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O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v>0.875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O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v>21875</v>
      </c>
      <c r="I21" s="43" t="s">
        <v>127</v>
      </c>
      <c r="J21" s="43" t="n">
        <v>60500</v>
      </c>
      <c r="K21" s="43" t="n">
        <v>1</v>
      </c>
      <c r="L21" s="43" t="n">
        <f aca="false">J21*K21</f>
        <v>60500</v>
      </c>
      <c r="O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3571655</v>
      </c>
      <c r="I22" s="43" t="s">
        <v>130</v>
      </c>
      <c r="J22" s="43" t="n">
        <v>89100</v>
      </c>
      <c r="K22" s="43" t="n">
        <v>0</v>
      </c>
      <c r="L22" s="43" t="n">
        <f aca="false">J22*K22</f>
        <v>0</v>
      </c>
      <c r="O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4972718.375</v>
      </c>
      <c r="I23" s="43" t="s">
        <v>133</v>
      </c>
      <c r="J23" s="43" t="n">
        <v>110000</v>
      </c>
      <c r="K23" s="43" t="n">
        <v>2</v>
      </c>
      <c r="L23" s="43" t="n">
        <f aca="false">J23*K23</f>
        <v>220000</v>
      </c>
      <c r="O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4</v>
      </c>
      <c r="L24" s="43" t="n">
        <f aca="false">J24*K24</f>
        <v>572000</v>
      </c>
      <c r="O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1" t="n">
        <f aca="false">+K16+K17+K18+K19+K20+K23+K24+K25+K26+K27</f>
        <v>7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O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1</v>
      </c>
      <c r="L26" s="43" t="n">
        <f aca="false">J26*K26</f>
        <v>198000</v>
      </c>
      <c r="O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1" t="n">
        <v>0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O27" s="58"/>
    </row>
    <row r="28" customFormat="false" ht="12.75" hidden="false" customHeight="false" outlineLevel="0" collapsed="false">
      <c r="K28" s="43" t="n">
        <f aca="false">SUM(K16:K27)</f>
        <v>8</v>
      </c>
      <c r="L28" s="43" t="n">
        <f aca="false">SUM(L16:L27)*1.2</f>
        <v>1260600</v>
      </c>
      <c r="O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7</v>
      </c>
      <c r="L29" s="72" t="n">
        <v>0.2</v>
      </c>
      <c r="O29" s="58"/>
    </row>
    <row r="30" customFormat="false" ht="12.75" hidden="true" customHeight="false" outlineLevel="0" collapsed="false">
      <c r="L30" s="43" t="n">
        <f aca="false">L28*1.2</f>
        <v>1512720</v>
      </c>
      <c r="O30" s="21"/>
    </row>
    <row r="31" customFormat="false" ht="12.75" hidden="true" customHeight="false" outlineLevel="0" collapsed="false">
      <c r="H31" s="16" t="s">
        <v>140</v>
      </c>
      <c r="L31" s="0"/>
      <c r="O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O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O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8</v>
      </c>
      <c r="L34" s="74" t="n">
        <f aca="false">+J34*K34</f>
        <v>386161.45</v>
      </c>
      <c r="O34" s="21"/>
    </row>
    <row r="35" customFormat="false" ht="12.75" hidden="true" customHeight="false" outlineLevel="0" collapsed="false">
      <c r="O35" s="21"/>
    </row>
    <row r="36" customFormat="false" ht="12.75" hidden="true" customHeight="false" outlineLevel="0" collapsed="false">
      <c r="O36" s="21"/>
    </row>
    <row r="37" customFormat="false" ht="12.75" hidden="true" customHeight="false" outlineLevel="0" collapsed="false">
      <c r="O37" s="21"/>
    </row>
    <row r="38" customFormat="false" ht="12.75" hidden="true" customHeight="false" outlineLevel="0" collapsed="false">
      <c r="O38" s="21"/>
    </row>
    <row r="39" customFormat="false" ht="12.75" hidden="false" customHeight="false" outlineLevel="0" collapsed="false">
      <c r="O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8" min="8" style="0" width="9.14"/>
    <col collapsed="false" customWidth="true" hidden="true" outlineLevel="0" max="9" min="9" style="0" width="10.85"/>
    <col collapsed="false" customWidth="true" hidden="true" outlineLevel="0" max="10" min="10" style="0" width="12.99"/>
    <col collapsed="false" customWidth="true" hidden="true" outlineLevel="0" max="11" min="11" style="43" width="10.41"/>
    <col collapsed="false" customWidth="true" hidden="true" outlineLevel="0" max="12" min="12" style="43" width="10.85"/>
    <col collapsed="false" customWidth="true" hidden="true" outlineLevel="0" max="13" min="13" style="43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23" min="19" style="0" width="9.14"/>
    <col collapsed="false" customWidth="false" hidden="true" outlineLevel="0" max="56" min="24" style="0" width="9.06"/>
  </cols>
  <sheetData>
    <row r="1" customFormat="false" ht="18" hidden="false" customHeight="false" outlineLevel="0" collapsed="false">
      <c r="B1" s="44" t="str">
        <f aca="false">'[11]Team Report'!B1</f>
        <v>Enron North America</v>
      </c>
      <c r="C1" s="44"/>
      <c r="D1" s="44"/>
      <c r="E1" s="44"/>
      <c r="F1" s="44"/>
      <c r="G1" s="44"/>
      <c r="H1" s="44"/>
      <c r="I1" s="46"/>
      <c r="J1" s="46"/>
      <c r="K1" s="45"/>
      <c r="L1" s="45"/>
      <c r="M1" s="45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219</v>
      </c>
      <c r="C2" s="44"/>
      <c r="D2" s="44"/>
      <c r="E2" s="44"/>
      <c r="F2" s="44"/>
      <c r="G2" s="44"/>
      <c r="H2" s="44"/>
      <c r="I2" s="46"/>
      <c r="J2" s="46"/>
      <c r="K2" s="45"/>
      <c r="L2" s="45"/>
      <c r="M2" s="45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8"/>
      <c r="J3" s="48"/>
      <c r="K3" s="45"/>
      <c r="L3" s="45"/>
      <c r="M3" s="45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3.5" hidden="false" customHeight="false" outlineLevel="0" collapsed="false">
      <c r="J4" s="97" t="s">
        <v>218</v>
      </c>
      <c r="K4" s="97"/>
      <c r="L4" s="97"/>
      <c r="M4" s="97"/>
      <c r="O4" s="97" t="s">
        <v>219</v>
      </c>
      <c r="P4" s="97"/>
      <c r="Q4" s="97"/>
      <c r="R4" s="97"/>
    </row>
    <row r="5" customFormat="false" ht="12.75" hidden="false" customHeight="false" outlineLevel="0" collapsed="false">
      <c r="J5" s="79"/>
      <c r="K5" s="50"/>
      <c r="L5" s="50"/>
      <c r="M5" s="51"/>
      <c r="N5" s="21"/>
      <c r="O5" s="79"/>
      <c r="P5" s="50"/>
      <c r="Q5" s="50"/>
      <c r="R5" s="51"/>
    </row>
    <row r="6" customFormat="false" ht="12.75" hidden="false" customHeight="false" outlineLevel="0" collapsed="false">
      <c r="C6" s="54" t="n">
        <v>37135</v>
      </c>
      <c r="E6" s="54" t="s">
        <v>88</v>
      </c>
      <c r="F6" s="54" t="s">
        <v>90</v>
      </c>
      <c r="H6" s="54" t="s">
        <v>180</v>
      </c>
      <c r="J6" s="82"/>
      <c r="K6" s="74" t="s">
        <v>85</v>
      </c>
      <c r="L6" s="74" t="s">
        <v>86</v>
      </c>
      <c r="M6" s="98" t="s">
        <v>196</v>
      </c>
      <c r="N6" s="21"/>
      <c r="O6" s="82"/>
      <c r="P6" s="74" t="s">
        <v>85</v>
      </c>
      <c r="Q6" s="74" t="s">
        <v>86</v>
      </c>
      <c r="R6" s="98" t="s">
        <v>196</v>
      </c>
      <c r="V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 t="s">
        <v>94</v>
      </c>
      <c r="H7" s="55" t="s">
        <v>181</v>
      </c>
      <c r="J7" s="82"/>
      <c r="M7" s="53"/>
      <c r="N7" s="21"/>
      <c r="O7" s="82"/>
      <c r="P7" s="43"/>
      <c r="Q7" s="43"/>
      <c r="R7" s="53"/>
      <c r="V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99" t="n">
        <f aca="false">'[11]Team Report'!BA25</f>
        <v>4985502.23</v>
      </c>
      <c r="E8" s="58" t="n">
        <f aca="false">M28</f>
        <v>4252800</v>
      </c>
      <c r="F8" s="58" t="n">
        <f aca="false">R17+R18+R19+R23+R24+R25</f>
        <v>548400</v>
      </c>
      <c r="J8" s="82"/>
      <c r="M8" s="53"/>
      <c r="N8" s="21"/>
      <c r="O8" s="82"/>
      <c r="P8" s="43"/>
      <c r="Q8" s="43"/>
      <c r="R8" s="53"/>
      <c r="V8" s="58" t="n">
        <f aca="false">+F8/$F$29*$V$29</f>
        <v>91400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(C9/9)*12</f>
        <v>0</v>
      </c>
      <c r="F9" s="58" t="n">
        <v>0</v>
      </c>
      <c r="J9" s="82" t="s">
        <v>96</v>
      </c>
      <c r="K9" s="43" t="n">
        <v>0</v>
      </c>
      <c r="L9" s="43" t="n">
        <f aca="false">L28</f>
        <v>46</v>
      </c>
      <c r="M9" s="53" t="n">
        <f aca="false">+M32</f>
        <v>5103360</v>
      </c>
      <c r="N9" s="21"/>
      <c r="O9" s="82" t="s">
        <v>96</v>
      </c>
      <c r="P9" s="43" t="n">
        <v>0</v>
      </c>
      <c r="Q9" s="43" t="n">
        <f aca="false">Q28</f>
        <v>6</v>
      </c>
      <c r="R9" s="53" t="n">
        <f aca="false">+R32</f>
        <v>658080</v>
      </c>
      <c r="V9" s="58" t="n">
        <f aca="false">+F9/$F$29*$V$29</f>
        <v>0</v>
      </c>
    </row>
    <row r="10" customFormat="false" ht="12.75" hidden="true" customHeight="false" outlineLevel="0" collapsed="false">
      <c r="A10" s="56"/>
      <c r="B10" s="57" t="s">
        <v>198</v>
      </c>
      <c r="C10" s="58" t="n">
        <v>0</v>
      </c>
      <c r="E10" s="58" t="n">
        <f aca="false">(C10/9)*12</f>
        <v>0</v>
      </c>
      <c r="F10" s="58" t="n">
        <v>0</v>
      </c>
      <c r="J10" s="82"/>
      <c r="M10" s="53"/>
      <c r="N10" s="21"/>
      <c r="O10" s="82"/>
      <c r="P10" s="43"/>
      <c r="Q10" s="43"/>
      <c r="R10" s="53"/>
      <c r="V10" s="58" t="n">
        <f aca="false">+F10/$F$29*$V$29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'[11]Team Report'!BA26</f>
        <v>1210281.11</v>
      </c>
      <c r="E11" s="58" t="n">
        <f aca="false">M32</f>
        <v>5103360</v>
      </c>
      <c r="F11" s="58" t="n">
        <f aca="false">(F8+F10)*0.2</f>
        <v>109680</v>
      </c>
      <c r="H11" s="0" t="n">
        <v>1.2</v>
      </c>
      <c r="J11" s="82"/>
      <c r="M11" s="53"/>
      <c r="N11" s="21"/>
      <c r="O11" s="82"/>
      <c r="P11" s="43"/>
      <c r="Q11" s="43"/>
      <c r="R11" s="53"/>
      <c r="V11" s="58" t="n">
        <f aca="false">+F11/$F$29*$V$29</f>
        <v>18280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'[11]Team Report'!BA27</f>
        <v>190029.97</v>
      </c>
      <c r="E12" s="58" t="n">
        <f aca="false">(C12/9)*12</f>
        <v>253373.293333333</v>
      </c>
      <c r="F12" s="58" t="n">
        <f aca="false">(E12/$E$29*7)+7477+46</f>
        <v>24742.5442071197</v>
      </c>
      <c r="J12" s="82" t="s">
        <v>67</v>
      </c>
      <c r="K12" s="43" t="n">
        <f aca="false">(E12+E13+E14+E15+E16+E17+E18+E19+E20+E21+22)/E29</f>
        <v>5823.46990291262</v>
      </c>
      <c r="L12" s="43" t="n">
        <f aca="false">L28</f>
        <v>46</v>
      </c>
      <c r="M12" s="53" t="n">
        <f aca="false">K12*L12+600000+704684</f>
        <v>1572563.61553398</v>
      </c>
      <c r="N12" s="21"/>
      <c r="O12" s="82" t="s">
        <v>67</v>
      </c>
      <c r="P12" s="43" t="n">
        <f aca="false">K12</f>
        <v>5823.46990291262</v>
      </c>
      <c r="Q12" s="43" t="n">
        <f aca="false">Q28</f>
        <v>6</v>
      </c>
      <c r="R12" s="53" t="n">
        <f aca="false">P12*Q12+360000-3367</f>
        <v>391573.819417476</v>
      </c>
      <c r="V12" s="58" t="n">
        <f aca="false">+F12/$F$29*$V$29</f>
        <v>4123.75736785329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'[11]Team Report'!BA28</f>
        <v>78390.58</v>
      </c>
      <c r="E13" s="58" t="n">
        <f aca="false">(C13/9)*12</f>
        <v>104520.773333333</v>
      </c>
      <c r="F13" s="58" t="n">
        <f aca="false">(E13/$E$29*7)+6000</f>
        <v>13103.3535275081</v>
      </c>
      <c r="J13" s="82"/>
      <c r="M13" s="53"/>
      <c r="N13" s="21"/>
      <c r="O13" s="82"/>
      <c r="P13" s="43"/>
      <c r="Q13" s="43"/>
      <c r="R13" s="53"/>
      <c r="V13" s="58" t="n">
        <f aca="false">+F13/$F$29*$V$29</f>
        <v>2183.89225458468</v>
      </c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v>0</v>
      </c>
      <c r="E14" s="58" t="n">
        <f aca="false">(C14/9)*12</f>
        <v>0</v>
      </c>
      <c r="F14" s="58" t="n">
        <v>330000</v>
      </c>
      <c r="J14" s="87" t="s">
        <v>105</v>
      </c>
      <c r="K14" s="64"/>
      <c r="L14" s="64"/>
      <c r="M14" s="65" t="n">
        <f aca="false">SUM(M9:M12)</f>
        <v>6675923.61553398</v>
      </c>
      <c r="N14" s="21"/>
      <c r="O14" s="87" t="s">
        <v>105</v>
      </c>
      <c r="P14" s="64"/>
      <c r="Q14" s="64"/>
      <c r="R14" s="65" t="n">
        <f aca="false">SUM(R9:R12)</f>
        <v>1049653.81941748</v>
      </c>
      <c r="V14" s="58" t="n">
        <f aca="false">+F14/$F$29*$V$29</f>
        <v>55000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'[11]Team Report'!BA33</f>
        <v>69921.63</v>
      </c>
      <c r="E15" s="58" t="n">
        <f aca="false">(C15/9)*12</f>
        <v>93228.84</v>
      </c>
      <c r="F15" s="58" t="n">
        <f aca="false">(E15/$E$29*7)+2000</f>
        <v>8335.94058252427</v>
      </c>
      <c r="J15" s="21"/>
      <c r="N15" s="21"/>
      <c r="V15" s="58" t="n">
        <f aca="false">+F15/$F$29*$V$29</f>
        <v>1389.32343042071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'[11]Team Report'!BA34</f>
        <v>0</v>
      </c>
      <c r="E16" s="58" t="n">
        <f aca="false">(C16/9)*12</f>
        <v>0</v>
      </c>
      <c r="F16" s="58" t="n">
        <f aca="false">E16/$E$29*7</f>
        <v>0</v>
      </c>
      <c r="I16" s="60"/>
      <c r="J16" s="21"/>
      <c r="M16" s="43" t="n">
        <f aca="false">N16-F23</f>
        <v>6420100.52517799</v>
      </c>
      <c r="N16" s="105" t="n">
        <f aca="false">M14+R14</f>
        <v>7725577.43495146</v>
      </c>
      <c r="V16" s="58" t="n">
        <f aca="false">+F16/$F$29*$V$29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'[11]Team Report'!BA35</f>
        <v>0</v>
      </c>
      <c r="E17" s="58" t="n">
        <f aca="false">(C17/9)*12</f>
        <v>0</v>
      </c>
      <c r="F17" s="58" t="n">
        <f aca="false">E17/$E$29*7</f>
        <v>0</v>
      </c>
      <c r="J17" s="21" t="s">
        <v>177</v>
      </c>
      <c r="K17" s="43" t="n">
        <f aca="false">(30000*1.2)</f>
        <v>36000</v>
      </c>
      <c r="L17" s="0" t="n">
        <v>0</v>
      </c>
      <c r="M17" s="43" t="n">
        <f aca="false">K17*L17</f>
        <v>0</v>
      </c>
      <c r="O17" s="21" t="s">
        <v>177</v>
      </c>
      <c r="P17" s="43" t="n">
        <f aca="false">(30000*1.2)</f>
        <v>36000</v>
      </c>
      <c r="Q17" s="21" t="n">
        <v>0</v>
      </c>
      <c r="R17" s="60" t="n">
        <f aca="false">P17*Q17</f>
        <v>0</v>
      </c>
      <c r="V17" s="58" t="n">
        <f aca="false">+F17/$F$29*$V$29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'[11]Team Report'!BA36</f>
        <v>19039.67</v>
      </c>
      <c r="E18" s="58" t="n">
        <f aca="false">(C18/9)*12</f>
        <v>25386.2266666667</v>
      </c>
      <c r="F18" s="58" t="n">
        <f aca="false">(E18/$E$29*7)+2000</f>
        <v>3725.27754045308</v>
      </c>
      <c r="J18" s="0" t="s">
        <v>220</v>
      </c>
      <c r="K18" s="43" t="n">
        <f aca="false">(40000*1.2)*1.2</f>
        <v>57600</v>
      </c>
      <c r="L18" s="0" t="n">
        <v>3</v>
      </c>
      <c r="M18" s="43" t="n">
        <f aca="false">K18*L18</f>
        <v>172800</v>
      </c>
      <c r="O18" s="0" t="s">
        <v>220</v>
      </c>
      <c r="P18" s="43" t="n">
        <f aca="false">(40000*1.2)*1.2</f>
        <v>57600</v>
      </c>
      <c r="Q18" s="0" t="n">
        <v>2</v>
      </c>
      <c r="R18" s="60" t="n">
        <f aca="false">P18*Q18</f>
        <v>115200</v>
      </c>
      <c r="V18" s="58" t="n">
        <f aca="false">+F18/$F$29*$V$29</f>
        <v>620.879590075513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'[11]Team Report'!BA37</f>
        <v>17422.02</v>
      </c>
      <c r="E19" s="58" t="n">
        <f aca="false">(C19/9)*12</f>
        <v>23229.36</v>
      </c>
      <c r="F19" s="58" t="n">
        <f aca="false">(E19/$E$29*7)+7000</f>
        <v>8578.69436893204</v>
      </c>
      <c r="J19" s="0" t="s">
        <v>118</v>
      </c>
      <c r="K19" s="43" t="n">
        <v>49200</v>
      </c>
      <c r="L19" s="0" t="n">
        <v>1</v>
      </c>
      <c r="M19" s="43" t="n">
        <f aca="false">K19*L19</f>
        <v>49200</v>
      </c>
      <c r="O19" s="0" t="s">
        <v>118</v>
      </c>
      <c r="P19" s="43" t="n">
        <v>49200</v>
      </c>
      <c r="Q19" s="0" t="n">
        <v>1</v>
      </c>
      <c r="R19" s="60" t="n">
        <f aca="false">P19*Q19</f>
        <v>49200</v>
      </c>
      <c r="V19" s="58" t="n">
        <f aca="false">+F19/$F$29*$V$29</f>
        <v>1429.78239482201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'[11]Team Report'!BA38</f>
        <v>0</v>
      </c>
      <c r="E20" s="58" t="n">
        <f aca="false">(C20/9)*12</f>
        <v>0</v>
      </c>
      <c r="F20" s="58" t="n">
        <f aca="false">E20/$E$29*46</f>
        <v>0</v>
      </c>
      <c r="J20" s="0" t="s">
        <v>221</v>
      </c>
      <c r="K20" s="43" t="n">
        <v>57600</v>
      </c>
      <c r="L20" s="0" t="n">
        <v>3</v>
      </c>
      <c r="M20" s="43" t="n">
        <f aca="false">K20*L20</f>
        <v>172800</v>
      </c>
      <c r="O20" s="0" t="s">
        <v>221</v>
      </c>
      <c r="P20" s="43" t="n">
        <v>57600</v>
      </c>
      <c r="Q20" s="0" t="n">
        <v>0</v>
      </c>
      <c r="R20" s="60" t="n">
        <f aca="false">P20*Q20</f>
        <v>0</v>
      </c>
      <c r="V20" s="58" t="n">
        <f aca="false">+F20/$F$29*$V$29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'[11]Team Report'!BA42</f>
        <v>75042.68</v>
      </c>
      <c r="E21" s="58" t="n">
        <f aca="false">(C21/9)*12</f>
        <v>100056.906666667</v>
      </c>
      <c r="F21" s="58" t="n">
        <f aca="false">(E21/$E$29*7)+2000+250000</f>
        <v>258799.98394822</v>
      </c>
      <c r="J21" s="0" t="s">
        <v>121</v>
      </c>
      <c r="K21" s="43" t="n">
        <v>62400</v>
      </c>
      <c r="L21" s="0" t="n">
        <v>12</v>
      </c>
      <c r="M21" s="43" t="n">
        <f aca="false">K21*L21</f>
        <v>748800</v>
      </c>
      <c r="O21" s="0" t="s">
        <v>121</v>
      </c>
      <c r="P21" s="43" t="n">
        <v>62400</v>
      </c>
      <c r="Q21" s="0" t="n">
        <v>0</v>
      </c>
      <c r="R21" s="60" t="n">
        <f aca="false">P21*Q21</f>
        <v>0</v>
      </c>
      <c r="V21" s="58" t="n">
        <f aca="false">+F21/$F$29*$V$29</f>
        <v>43133.3306580367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'[11]Team Report'!BA44</f>
        <v>1226.24</v>
      </c>
      <c r="E22" s="58" t="n">
        <f aca="false">(C22/9)*12</f>
        <v>1634.98666666667</v>
      </c>
      <c r="F22" s="58" t="n">
        <f aca="false">E22/$E$29*7</f>
        <v>111.115598705502</v>
      </c>
      <c r="J22" s="0" t="s">
        <v>222</v>
      </c>
      <c r="K22" s="43" t="n">
        <v>74400</v>
      </c>
      <c r="L22" s="0" t="n">
        <v>8</v>
      </c>
      <c r="M22" s="43" t="n">
        <f aca="false">K22*L22</f>
        <v>595200</v>
      </c>
      <c r="O22" s="0" t="s">
        <v>222</v>
      </c>
      <c r="P22" s="43" t="n">
        <v>74400</v>
      </c>
      <c r="Q22" s="0" t="n">
        <v>0</v>
      </c>
      <c r="R22" s="60" t="n">
        <f aca="false">P22*Q22</f>
        <v>0</v>
      </c>
      <c r="V22" s="58" t="n">
        <f aca="false">+F22/$F$29*$V$29</f>
        <v>18.5192664509169</v>
      </c>
    </row>
    <row r="23" customFormat="false" ht="13.5" hidden="false" customHeight="false" outlineLevel="0" collapsed="false">
      <c r="A23" s="66" t="s">
        <v>131</v>
      </c>
      <c r="B23" s="67" t="s">
        <v>132</v>
      </c>
      <c r="C23" s="68" t="n">
        <f aca="false">SUM(C8:C22)</f>
        <v>6646856.13</v>
      </c>
      <c r="E23" s="71" t="n">
        <f aca="false">SUM(E8:E22)</f>
        <v>9957590.38666667</v>
      </c>
      <c r="F23" s="71" t="n">
        <f aca="false">SUM(F8:F22)</f>
        <v>1305476.90977346</v>
      </c>
      <c r="J23" s="0" t="s">
        <v>223</v>
      </c>
      <c r="K23" s="43" t="n">
        <v>90000</v>
      </c>
      <c r="L23" s="0" t="n">
        <v>10</v>
      </c>
      <c r="M23" s="43" t="n">
        <f aca="false">K23*L23</f>
        <v>900000</v>
      </c>
      <c r="O23" s="0" t="s">
        <v>223</v>
      </c>
      <c r="P23" s="43" t="n">
        <v>90000</v>
      </c>
      <c r="Q23" s="0" t="n">
        <v>1</v>
      </c>
      <c r="R23" s="60" t="n">
        <f aca="false">P23*Q23</f>
        <v>90000</v>
      </c>
      <c r="V23" s="90" t="n">
        <f aca="false">SUM(V8:V22)</f>
        <v>217579.484962244</v>
      </c>
    </row>
    <row r="24" customFormat="false" ht="12.75" hidden="false" customHeight="false" outlineLevel="0" collapsed="false">
      <c r="J24" s="0" t="s">
        <v>224</v>
      </c>
      <c r="K24" s="43" t="n">
        <v>120000</v>
      </c>
      <c r="L24" s="0" t="n">
        <v>4</v>
      </c>
      <c r="M24" s="43" t="n">
        <f aca="false">K24*L24</f>
        <v>480000</v>
      </c>
      <c r="O24" s="0" t="s">
        <v>224</v>
      </c>
      <c r="P24" s="43" t="n">
        <v>120000</v>
      </c>
      <c r="Q24" s="0" t="n">
        <v>1</v>
      </c>
      <c r="R24" s="60" t="n">
        <f aca="false">P24*Q24</f>
        <v>120000</v>
      </c>
    </row>
    <row r="25" customFormat="false" ht="12.75" hidden="false" customHeight="false" outlineLevel="0" collapsed="false">
      <c r="B25" s="67" t="s">
        <v>9</v>
      </c>
      <c r="C25" s="101"/>
      <c r="E25" s="101" t="n">
        <v>99</v>
      </c>
      <c r="F25" s="101" t="n">
        <f aca="false">+Q28</f>
        <v>6</v>
      </c>
      <c r="J25" s="0" t="s">
        <v>225</v>
      </c>
      <c r="K25" s="43" t="n">
        <v>174000</v>
      </c>
      <c r="L25" s="0" t="n">
        <v>1</v>
      </c>
      <c r="M25" s="43" t="n">
        <f aca="false">K25*L25</f>
        <v>174000</v>
      </c>
      <c r="O25" s="0" t="s">
        <v>225</v>
      </c>
      <c r="P25" s="43" t="n">
        <v>174000</v>
      </c>
      <c r="Q25" s="0" t="n">
        <v>1</v>
      </c>
      <c r="R25" s="60" t="n">
        <f aca="false">P25*Q25</f>
        <v>174000</v>
      </c>
      <c r="V25" s="71" t="n">
        <f aca="false">SUM(AB16:AB20,AB23:AB27)</f>
        <v>0</v>
      </c>
    </row>
    <row r="26" customFormat="false" ht="12.75" hidden="false" customHeight="false" outlineLevel="0" collapsed="false">
      <c r="J26" s="0" t="s">
        <v>226</v>
      </c>
      <c r="K26" s="43" t="n">
        <v>216000</v>
      </c>
      <c r="L26" s="0" t="n">
        <v>3</v>
      </c>
      <c r="M26" s="43" t="n">
        <f aca="false">K26*L26</f>
        <v>648000</v>
      </c>
      <c r="O26" s="0" t="s">
        <v>226</v>
      </c>
      <c r="P26" s="43" t="n">
        <v>216000</v>
      </c>
      <c r="Q26" s="0" t="n">
        <v>0</v>
      </c>
      <c r="R26" s="60" t="n">
        <f aca="false">P26*Q26</f>
        <v>0</v>
      </c>
      <c r="V26" s="58"/>
    </row>
    <row r="27" customFormat="false" ht="12.75" hidden="false" customHeight="false" outlineLevel="0" collapsed="false">
      <c r="B27" s="67" t="s">
        <v>137</v>
      </c>
      <c r="C27" s="101"/>
      <c r="E27" s="101" t="n">
        <v>4</v>
      </c>
      <c r="F27" s="101" t="n">
        <v>0</v>
      </c>
      <c r="J27" s="0" t="s">
        <v>227</v>
      </c>
      <c r="K27" s="43" t="n">
        <v>312000</v>
      </c>
      <c r="L27" s="0" t="n">
        <v>1</v>
      </c>
      <c r="M27" s="43" t="n">
        <f aca="false">K27*L27</f>
        <v>312000</v>
      </c>
      <c r="O27" s="0" t="s">
        <v>227</v>
      </c>
      <c r="P27" s="43" t="n">
        <v>312000</v>
      </c>
      <c r="Q27" s="0" t="n">
        <v>0</v>
      </c>
      <c r="R27" s="60" t="n">
        <f aca="false">P27*Q27</f>
        <v>0</v>
      </c>
      <c r="V27" s="71" t="n">
        <f aca="false">SUM(AB21:AB22)</f>
        <v>0</v>
      </c>
    </row>
    <row r="28" customFormat="false" ht="12.75" hidden="false" customHeight="false" outlineLevel="0" collapsed="false">
      <c r="L28" s="43" t="n">
        <f aca="false">SUM(L17:L27)</f>
        <v>46</v>
      </c>
      <c r="M28" s="43" t="n">
        <f aca="false">SUM(M17:M27)</f>
        <v>4252800</v>
      </c>
      <c r="P28" s="43"/>
      <c r="Q28" s="0" t="n">
        <f aca="false">SUM(Q17:Q27)</f>
        <v>6</v>
      </c>
      <c r="R28" s="60" t="n">
        <f aca="false">SUM(R17:R27)</f>
        <v>548400</v>
      </c>
    </row>
    <row r="29" customFormat="false" ht="12.75" hidden="false" customHeight="false" outlineLevel="0" collapsed="false">
      <c r="B29" s="67" t="s">
        <v>139</v>
      </c>
      <c r="C29" s="101"/>
      <c r="E29" s="101" t="n">
        <f aca="false">SUM(E25:E28)</f>
        <v>103</v>
      </c>
      <c r="F29" s="101" t="n">
        <f aca="false">SUM(F25:F27)</f>
        <v>6</v>
      </c>
      <c r="P29" s="43"/>
      <c r="Q29" s="43"/>
      <c r="V29" s="71" t="n">
        <v>1</v>
      </c>
    </row>
    <row r="30" customFormat="false" ht="12.75" hidden="false" customHeight="false" outlineLevel="0" collapsed="false">
      <c r="B30" s="67"/>
      <c r="J30" s="0" t="s">
        <v>228</v>
      </c>
      <c r="L30" s="72"/>
      <c r="M30" s="72" t="n">
        <v>0.2</v>
      </c>
      <c r="O30" s="0" t="s">
        <v>228</v>
      </c>
      <c r="P30" s="43"/>
      <c r="Q30" s="72"/>
      <c r="R30" s="72" t="n">
        <v>0.2</v>
      </c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'[11]Team Report'!BA29</f>
        <v>0</v>
      </c>
      <c r="E31" s="58" t="n">
        <f aca="false">(C31/9)*12</f>
        <v>0</v>
      </c>
      <c r="F31" s="58"/>
      <c r="P31" s="43"/>
      <c r="Q31" s="43"/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'[11]Team Report'!BA30</f>
        <v>0</v>
      </c>
      <c r="E32" s="58" t="n">
        <f aca="false">(C32/9)*12</f>
        <v>0</v>
      </c>
      <c r="F32" s="58"/>
      <c r="M32" s="43" t="n">
        <f aca="false">M28*1.2</f>
        <v>5103360</v>
      </c>
      <c r="P32" s="43"/>
      <c r="Q32" s="43"/>
      <c r="R32" s="43" t="n">
        <f aca="false">R28*1.2</f>
        <v>658080</v>
      </c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'[11]Team Report'!BA31</f>
        <v>0</v>
      </c>
      <c r="E33" s="58" t="n">
        <f aca="false">(C33/9)*12</f>
        <v>0</v>
      </c>
      <c r="F33" s="58"/>
      <c r="P33" s="43"/>
      <c r="Q33" s="43"/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'[11]Team Report'!BA39</f>
        <v>0</v>
      </c>
      <c r="E34" s="58" t="n">
        <f aca="false">(C34/9)*12</f>
        <v>0</v>
      </c>
      <c r="F34" s="58"/>
      <c r="J34" s="16" t="s">
        <v>140</v>
      </c>
      <c r="N34" s="43"/>
    </row>
    <row r="35" customFormat="false" ht="13.5" hidden="true" customHeight="false" outlineLevel="0" collapsed="false">
      <c r="A35" s="56" t="s">
        <v>191</v>
      </c>
      <c r="B35" s="57" t="s">
        <v>204</v>
      </c>
      <c r="C35" s="58" t="n">
        <f aca="false">'[11]Team Report'!BA40</f>
        <v>24670.39</v>
      </c>
      <c r="E35" s="58" t="n">
        <f aca="false">(C35/9)*12</f>
        <v>32893.8533333333</v>
      </c>
      <c r="F35" s="58"/>
      <c r="J35" s="97" t="s">
        <v>218</v>
      </c>
      <c r="K35" s="97"/>
      <c r="L35" s="97"/>
      <c r="M35" s="97"/>
      <c r="N35" s="43"/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'[11]Team Report'!BA41</f>
        <v>481045.43</v>
      </c>
      <c r="E36" s="58" t="n">
        <f aca="false">(C36/9)*12</f>
        <v>641393.906666667</v>
      </c>
      <c r="F36" s="58"/>
      <c r="J36" s="73" t="s">
        <v>141</v>
      </c>
      <c r="L36" s="74" t="s">
        <v>142</v>
      </c>
      <c r="M36" s="74" t="s">
        <v>143</v>
      </c>
      <c r="N36" s="74" t="s">
        <v>86</v>
      </c>
      <c r="O36" s="74" t="s">
        <v>144</v>
      </c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'[11]Team Report'!BA43</f>
        <v>-771915.88</v>
      </c>
      <c r="E37" s="58" t="n">
        <f aca="false">(C37/9)*12</f>
        <v>-1029221.17333333</v>
      </c>
      <c r="F37" s="58"/>
      <c r="J37" s="75" t="n">
        <f aca="false">SUM(E12:E21)</f>
        <v>599795.4</v>
      </c>
      <c r="L37" s="103" t="n">
        <f aca="false">E29</f>
        <v>103</v>
      </c>
      <c r="M37" s="74" t="n">
        <f aca="false">+J37/L37</f>
        <v>5823.25631067961</v>
      </c>
      <c r="N37" s="103" t="n">
        <v>46</v>
      </c>
      <c r="O37" s="74" t="n">
        <f aca="false">+M37*N37+500000+571398</f>
        <v>1339267.79029126</v>
      </c>
      <c r="P37" s="0" t="s">
        <v>229</v>
      </c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'[11]Team Report'!BA45</f>
        <v>0</v>
      </c>
      <c r="E38" s="58" t="n">
        <f aca="false">(C38/9)*12</f>
        <v>0</v>
      </c>
      <c r="F38" s="58"/>
      <c r="P38" s="0" t="s">
        <v>230</v>
      </c>
    </row>
    <row r="39" customFormat="false" ht="12.75" hidden="false" customHeight="false" outlineLevel="0" collapsed="false">
      <c r="A39" s="56"/>
      <c r="B39" s="57"/>
      <c r="C39" s="58"/>
      <c r="E39" s="58"/>
      <c r="F39" s="58"/>
      <c r="P39" s="0" t="s">
        <v>231</v>
      </c>
    </row>
    <row r="40" customFormat="false" ht="12.75" hidden="false" customHeight="false" outlineLevel="0" collapsed="false">
      <c r="A40" s="56"/>
      <c r="B40" s="57"/>
      <c r="C40" s="58"/>
      <c r="E40" s="58"/>
      <c r="F40" s="58"/>
      <c r="P40" s="0" t="s">
        <v>232</v>
      </c>
    </row>
    <row r="41" customFormat="false" ht="13.5" hidden="false" customHeight="false" outlineLevel="0" collapsed="false">
      <c r="A41" s="56"/>
      <c r="B41" s="57"/>
      <c r="C41" s="58"/>
      <c r="E41" s="58"/>
      <c r="F41" s="58"/>
      <c r="J41" s="97" t="s">
        <v>219</v>
      </c>
      <c r="K41" s="97"/>
      <c r="L41" s="97"/>
      <c r="M41" s="97"/>
      <c r="N41" s="43"/>
      <c r="P41" s="0" t="s">
        <v>233</v>
      </c>
    </row>
    <row r="42" customFormat="false" ht="12.75" hidden="false" customHeight="false" outlineLevel="0" collapsed="false">
      <c r="J42" s="73" t="s">
        <v>141</v>
      </c>
      <c r="L42" s="74" t="s">
        <v>142</v>
      </c>
      <c r="M42" s="74" t="s">
        <v>143</v>
      </c>
      <c r="N42" s="74" t="s">
        <v>86</v>
      </c>
      <c r="O42" s="74" t="s">
        <v>144</v>
      </c>
    </row>
    <row r="43" customFormat="false" ht="12.75" hidden="false" customHeight="false" outlineLevel="0" collapsed="false">
      <c r="J43" s="75" t="n">
        <f aca="false">SUM(E12:E21)</f>
        <v>599795.4</v>
      </c>
      <c r="L43" s="103" t="n">
        <v>103</v>
      </c>
      <c r="M43" s="74" t="n">
        <f aca="false">+J43/L43</f>
        <v>5823.25631067961</v>
      </c>
      <c r="N43" s="103" t="n">
        <v>7</v>
      </c>
      <c r="O43" s="74" t="n">
        <f aca="false">+M43*N43+300000</f>
        <v>340762.794174757</v>
      </c>
      <c r="P43" s="0" t="s">
        <v>234</v>
      </c>
    </row>
    <row r="44" customFormat="false" ht="12.75" hidden="false" customHeight="false" outlineLevel="0" collapsed="false">
      <c r="P44" s="0" t="s">
        <v>235</v>
      </c>
    </row>
    <row r="46" customFormat="false" ht="12.75" hidden="false" customHeight="false" outlineLevel="0" collapsed="false">
      <c r="C46" s="96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6" activeCellId="0" sqref="O6:O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true" outlineLevel="0" max="3" min="3" style="0" width="19.14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3.85"/>
    <col collapsed="false" customWidth="true" hidden="false" outlineLevel="0" max="7" min="7" style="0" width="11.99"/>
    <col collapsed="false" customWidth="true" hidden="true" outlineLevel="0" max="8" min="8" style="0" width="12.7"/>
    <col collapsed="false" customWidth="true" hidden="true" outlineLevel="0" max="9" min="9" style="0" width="1.7"/>
    <col collapsed="false" customWidth="true" hidden="true" outlineLevel="0" max="10" min="10" style="0" width="15.28"/>
    <col collapsed="false" customWidth="true" hidden="true" outlineLevel="0" max="11" min="11" style="0" width="10.41"/>
    <col collapsed="false" customWidth="true" hidden="true" outlineLevel="0" max="12" min="12" style="0" width="8.99"/>
    <col collapsed="false" customWidth="true" hidden="true" outlineLevel="0" max="13" min="13" style="0" width="11.85"/>
  </cols>
  <sheetData>
    <row r="1" customFormat="false" ht="18" hidden="false" customHeight="false" outlineLevel="0" collapsed="false">
      <c r="B1" s="44" t="str">
        <f aca="false">'[12]Team Report'!B1</f>
        <v>Enron North America</v>
      </c>
      <c r="C1" s="44"/>
      <c r="D1" s="44"/>
      <c r="E1" s="44"/>
      <c r="F1" s="44"/>
      <c r="G1" s="44"/>
      <c r="H1" s="46"/>
      <c r="I1" s="46"/>
      <c r="J1" s="46"/>
      <c r="K1" s="46"/>
      <c r="L1" s="46"/>
      <c r="M1" s="46"/>
    </row>
    <row r="2" customFormat="false" ht="18" hidden="false" customHeight="false" outlineLevel="0" collapsed="false">
      <c r="B2" s="44" t="s">
        <v>236</v>
      </c>
      <c r="C2" s="44"/>
      <c r="D2" s="44"/>
      <c r="E2" s="44"/>
      <c r="F2" s="44"/>
      <c r="G2" s="44"/>
      <c r="H2" s="46"/>
      <c r="I2" s="46"/>
      <c r="J2" s="46"/>
      <c r="K2" s="46"/>
      <c r="L2" s="46"/>
      <c r="M2" s="46"/>
    </row>
    <row r="3" customFormat="false" ht="18" hidden="false" customHeight="false" outlineLevel="0" collapsed="false">
      <c r="B3" s="44" t="s">
        <v>5</v>
      </c>
      <c r="C3" s="44"/>
      <c r="D3" s="44"/>
      <c r="E3" s="44"/>
      <c r="F3" s="44"/>
      <c r="G3" s="44"/>
      <c r="H3" s="48"/>
      <c r="I3" s="48"/>
      <c r="J3" s="48"/>
      <c r="K3" s="48"/>
      <c r="L3" s="48"/>
      <c r="M3" s="48"/>
    </row>
    <row r="4" customFormat="false" ht="13.5" hidden="false" customHeight="false" outlineLevel="0" collapsed="false"/>
    <row r="5" customFormat="false" ht="12.75" hidden="false" customHeight="false" outlineLevel="0" collapsed="false">
      <c r="J5" s="79"/>
      <c r="K5" s="50"/>
      <c r="L5" s="50"/>
      <c r="M5" s="51"/>
    </row>
    <row r="6" customFormat="false" ht="12.75" hidden="false" customHeight="false" outlineLevel="0" collapsed="false">
      <c r="C6" s="54" t="n">
        <v>37135</v>
      </c>
      <c r="E6" s="94" t="n">
        <v>2001</v>
      </c>
      <c r="F6" s="94"/>
      <c r="G6" s="94" t="n">
        <v>2002</v>
      </c>
      <c r="J6" s="82"/>
      <c r="K6" s="74" t="s">
        <v>85</v>
      </c>
      <c r="L6" s="74" t="s">
        <v>86</v>
      </c>
      <c r="M6" s="98" t="s">
        <v>196</v>
      </c>
      <c r="O6" s="94" t="n">
        <v>2002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/>
      <c r="G7" s="55" t="s">
        <v>94</v>
      </c>
      <c r="H7" s="16"/>
      <c r="J7" s="82"/>
      <c r="K7" s="43"/>
      <c r="L7" s="43"/>
      <c r="M7" s="5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'[12]Team Report'!BA25</f>
        <v>17469588.96</v>
      </c>
      <c r="E8" s="58" t="n">
        <f aca="false">+C8/9*12</f>
        <v>23292785.28</v>
      </c>
      <c r="F8" s="58"/>
      <c r="G8" s="58" t="n">
        <f aca="false">SUM(M17:M28)</f>
        <v>1776000</v>
      </c>
      <c r="J8" s="82"/>
      <c r="K8" s="43"/>
      <c r="L8" s="43"/>
      <c r="M8" s="53"/>
      <c r="O8" s="58" t="n">
        <f aca="false">+G8/$G$29*$O$29</f>
        <v>148000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+C9/9*12</f>
        <v>0</v>
      </c>
      <c r="F9" s="58"/>
      <c r="G9" s="58" t="n">
        <f aca="false">+E9/9*12</f>
        <v>0</v>
      </c>
      <c r="J9" s="82" t="s">
        <v>96</v>
      </c>
      <c r="K9" s="43" t="n">
        <v>0</v>
      </c>
      <c r="L9" s="43" t="n">
        <f aca="false">+L29</f>
        <v>12</v>
      </c>
      <c r="M9" s="53" t="n">
        <f aca="false">M35</f>
        <v>2131200</v>
      </c>
      <c r="O9" s="58" t="n">
        <f aca="false">+G9/$G$29*$O$29</f>
        <v>0</v>
      </c>
    </row>
    <row r="10" customFormat="false" ht="12.75" hidden="false" customHeight="false" outlineLevel="0" collapsed="false">
      <c r="B10" s="57" t="s">
        <v>176</v>
      </c>
      <c r="C10" s="58" t="n">
        <v>0</v>
      </c>
      <c r="E10" s="58" t="n">
        <f aca="false">+C10/9*12</f>
        <v>0</v>
      </c>
      <c r="F10" s="58"/>
      <c r="G10" s="58" t="n">
        <f aca="false">+E10/9*12</f>
        <v>0</v>
      </c>
      <c r="J10" s="82"/>
      <c r="K10" s="43"/>
      <c r="L10" s="43"/>
      <c r="M10" s="53"/>
      <c r="O10" s="58" t="n">
        <f aca="false">+G10/$G$29*$O$29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'[12]Team Report'!BA26</f>
        <v>1272399.64</v>
      </c>
      <c r="E11" s="58" t="n">
        <f aca="false">+C11/9*12</f>
        <v>1696532.85333333</v>
      </c>
      <c r="F11" s="58"/>
      <c r="G11" s="58" t="n">
        <f aca="false">+G8*0.2</f>
        <v>355200</v>
      </c>
      <c r="J11" s="82"/>
      <c r="K11" s="43"/>
      <c r="L11" s="43"/>
      <c r="M11" s="53"/>
      <c r="O11" s="58" t="n">
        <f aca="false">+G11/$G$29*$O$29</f>
        <v>29600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'[12]Team Report'!BA27</f>
        <v>141777.57</v>
      </c>
      <c r="E12" s="58" t="n">
        <f aca="false">+C12/9*12</f>
        <v>189036.76</v>
      </c>
      <c r="F12" s="58"/>
      <c r="G12" s="58" t="n">
        <f aca="false">+$M$12*0.25</f>
        <v>66582</v>
      </c>
      <c r="J12" s="82" t="s">
        <v>67</v>
      </c>
      <c r="K12" s="43" t="n">
        <f aca="false">18495*1.2</f>
        <v>22194</v>
      </c>
      <c r="L12" s="43" t="n">
        <v>12</v>
      </c>
      <c r="M12" s="53" t="n">
        <f aca="false">K12*L12</f>
        <v>266328</v>
      </c>
      <c r="O12" s="58" t="n">
        <f aca="false">+G12/$G$29*$O$29</f>
        <v>5548.5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'[12]Team Report'!BA28</f>
        <v>100051.51</v>
      </c>
      <c r="E13" s="58" t="n">
        <f aca="false">+C13/9*12</f>
        <v>133402.013333333</v>
      </c>
      <c r="F13" s="58"/>
      <c r="G13" s="58" t="n">
        <f aca="false">+$M$12*0.13</f>
        <v>34622.64</v>
      </c>
      <c r="J13" s="82"/>
      <c r="K13" s="43"/>
      <c r="L13" s="43"/>
      <c r="M13" s="53"/>
      <c r="O13" s="58" t="n">
        <f aca="false">+G13/$G$29*$O$29</f>
        <v>2885.22</v>
      </c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f aca="false">'[12]Team Report'!BA32</f>
        <v>13823042.72</v>
      </c>
      <c r="E14" s="58" t="n">
        <f aca="false">+C14/9*12</f>
        <v>18430723.6266667</v>
      </c>
      <c r="F14" s="58"/>
      <c r="G14" s="58" t="n">
        <f aca="false">+$M$12*0.2</f>
        <v>53265.6</v>
      </c>
      <c r="J14" s="87" t="s">
        <v>105</v>
      </c>
      <c r="K14" s="64"/>
      <c r="L14" s="64"/>
      <c r="M14" s="65" t="n">
        <f aca="false">SUM(M9:M12)</f>
        <v>2397528</v>
      </c>
      <c r="O14" s="58" t="n">
        <f aca="false">+G14/$G$29*$O$29</f>
        <v>4438.8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'[12]Team Report'!BA33</f>
        <v>7559.43</v>
      </c>
      <c r="E15" s="58" t="n">
        <f aca="false">+C15/9*12</f>
        <v>10079.24</v>
      </c>
      <c r="F15" s="58"/>
      <c r="G15" s="58" t="n">
        <f aca="false">+$M$12*0.08</f>
        <v>21306.24</v>
      </c>
      <c r="J15" s="21"/>
      <c r="K15" s="43"/>
      <c r="L15" s="43"/>
      <c r="M15" s="43"/>
      <c r="O15" s="58" t="n">
        <f aca="false">+G15/$G$29*$O$29</f>
        <v>1775.52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'[12]Team Report'!BA34</f>
        <v>0</v>
      </c>
      <c r="E16" s="58" t="n">
        <f aca="false">+C16/9*12</f>
        <v>0</v>
      </c>
      <c r="F16" s="58"/>
      <c r="G16" s="58" t="n">
        <v>0</v>
      </c>
      <c r="J16" s="21"/>
      <c r="K16" s="43"/>
      <c r="L16" s="100"/>
      <c r="M16" s="43"/>
      <c r="O16" s="58" t="n">
        <f aca="false">+G16/$G$29*$O$29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'[12]Team Report'!BA35</f>
        <v>0</v>
      </c>
      <c r="E17" s="58" t="n">
        <f aca="false">+C17/9*12</f>
        <v>0</v>
      </c>
      <c r="F17" s="58"/>
      <c r="G17" s="58" t="n">
        <v>0</v>
      </c>
      <c r="J17" s="0" t="s">
        <v>177</v>
      </c>
      <c r="K17" s="43" t="n">
        <v>49200</v>
      </c>
      <c r="L17" s="43" t="n">
        <v>0</v>
      </c>
      <c r="M17" s="43" t="n">
        <f aca="false">K17*L17</f>
        <v>0</v>
      </c>
      <c r="O17" s="58" t="n">
        <f aca="false">+G17/$G$29*$O$29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'[12]Team Report'!BA36</f>
        <v>91694.45</v>
      </c>
      <c r="E18" s="58" t="n">
        <f aca="false">+C18/9*12</f>
        <v>122259.266666667</v>
      </c>
      <c r="F18" s="58"/>
      <c r="G18" s="58" t="n">
        <v>0</v>
      </c>
      <c r="J18" s="0" t="s">
        <v>115</v>
      </c>
      <c r="K18" s="43" t="n">
        <v>57600</v>
      </c>
      <c r="L18" s="43" t="n">
        <v>0</v>
      </c>
      <c r="M18" s="43" t="n">
        <f aca="false">K18*L18</f>
        <v>0</v>
      </c>
      <c r="O18" s="58" t="n">
        <f aca="false">+G18/$G$29*$O$29</f>
        <v>0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'[12]Team Report'!BA37</f>
        <v>-7331217.46</v>
      </c>
      <c r="E19" s="58" t="n">
        <f aca="false">+C19/9*12</f>
        <v>-9774956.61333334</v>
      </c>
      <c r="F19" s="58"/>
      <c r="G19" s="58" t="n">
        <f aca="false">+$M$12*0.19</f>
        <v>50602.32</v>
      </c>
      <c r="J19" s="0" t="s">
        <v>118</v>
      </c>
      <c r="K19" s="43" t="n">
        <v>60000</v>
      </c>
      <c r="L19" s="43" t="n">
        <v>0</v>
      </c>
      <c r="M19" s="43" t="n">
        <f aca="false">K19*L19</f>
        <v>0</v>
      </c>
      <c r="O19" s="58" t="n">
        <f aca="false">+G19/$G$29*$O$29</f>
        <v>4216.86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'[12]Team Report'!BA38</f>
        <v>0</v>
      </c>
      <c r="E20" s="58" t="n">
        <f aca="false">+C20/9*12</f>
        <v>0</v>
      </c>
      <c r="F20" s="58"/>
      <c r="G20" s="58" t="n">
        <v>0</v>
      </c>
      <c r="J20" s="0" t="s">
        <v>121</v>
      </c>
      <c r="K20" s="43" t="n">
        <v>78000</v>
      </c>
      <c r="L20" s="43" t="n">
        <v>2</v>
      </c>
      <c r="M20" s="43" t="n">
        <f aca="false">K20*L20</f>
        <v>156000</v>
      </c>
      <c r="O20" s="58" t="n">
        <f aca="false">+G20/$G$29*$O$29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'[12]Team Report'!BA42</f>
        <v>24774212.69</v>
      </c>
      <c r="E21" s="58" t="n">
        <f aca="false">+C21/9*12</f>
        <v>33032283.5866667</v>
      </c>
      <c r="F21" s="58"/>
      <c r="G21" s="58" t="n">
        <f aca="false">+$M$12*0.15</f>
        <v>39949.2</v>
      </c>
      <c r="J21" s="0" t="s">
        <v>124</v>
      </c>
      <c r="K21" s="43" t="n">
        <v>102000</v>
      </c>
      <c r="L21" s="43" t="n">
        <v>2</v>
      </c>
      <c r="M21" s="43" t="n">
        <f aca="false">K21*L21</f>
        <v>204000</v>
      </c>
      <c r="O21" s="58" t="n">
        <f aca="false">+G21/$G$29*$O$29</f>
        <v>3329.1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'[12]Team Report'!BA44</f>
        <v>16.6</v>
      </c>
      <c r="E22" s="58" t="n">
        <f aca="false">+C22/9*12</f>
        <v>22.1333333333333</v>
      </c>
      <c r="F22" s="58"/>
      <c r="G22" s="58" t="n">
        <v>0</v>
      </c>
      <c r="J22" s="0" t="s">
        <v>127</v>
      </c>
      <c r="K22" s="43" t="n">
        <v>0</v>
      </c>
      <c r="L22" s="43" t="n">
        <v>0</v>
      </c>
      <c r="M22" s="43" t="n">
        <f aca="false">K22*L22</f>
        <v>0</v>
      </c>
      <c r="O22" s="58" t="n">
        <f aca="false">+G22/$G$29*$O$29</f>
        <v>0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50349126.11</v>
      </c>
      <c r="E23" s="68" t="n">
        <f aca="false">SUM(E8:E22)</f>
        <v>67132168.1466667</v>
      </c>
      <c r="F23" s="70"/>
      <c r="G23" s="68" t="n">
        <f aca="false">SUM(G8:G22)</f>
        <v>2397528</v>
      </c>
      <c r="J23" s="0" t="s">
        <v>130</v>
      </c>
      <c r="K23" s="43" t="n">
        <v>0</v>
      </c>
      <c r="L23" s="43" t="n">
        <v>0</v>
      </c>
      <c r="M23" s="43" t="n">
        <f aca="false">K23*L23</f>
        <v>0</v>
      </c>
      <c r="O23" s="68" t="n">
        <f aca="false">SUM(O8:O22)</f>
        <v>199794</v>
      </c>
    </row>
    <row r="24" customFormat="false" ht="12.75" hidden="false" customHeight="false" outlineLevel="0" collapsed="false">
      <c r="J24" s="0" t="s">
        <v>133</v>
      </c>
      <c r="K24" s="43" t="n">
        <v>144000</v>
      </c>
      <c r="L24" s="43" t="n">
        <v>3</v>
      </c>
      <c r="M24" s="43" t="n">
        <f aca="false">K24*L24</f>
        <v>432000</v>
      </c>
    </row>
    <row r="25" customFormat="false" ht="12.75" hidden="false" customHeight="false" outlineLevel="0" collapsed="false">
      <c r="B25" s="67" t="s">
        <v>9</v>
      </c>
      <c r="C25" s="58"/>
      <c r="E25" s="71" t="n">
        <v>111</v>
      </c>
      <c r="F25" s="58"/>
      <c r="G25" s="71" t="n">
        <v>12</v>
      </c>
      <c r="J25" s="0" t="s">
        <v>134</v>
      </c>
      <c r="K25" s="43" t="n">
        <v>168000</v>
      </c>
      <c r="L25" s="43" t="n">
        <v>2</v>
      </c>
      <c r="M25" s="43" t="n">
        <f aca="false">K25*L25</f>
        <v>336000</v>
      </c>
      <c r="O25" s="71" t="n">
        <f aca="false">SUM(U16:U20,U23:U27)</f>
        <v>0</v>
      </c>
    </row>
    <row r="26" customFormat="false" ht="12.75" hidden="false" customHeight="false" outlineLevel="0" collapsed="false">
      <c r="C26" s="58"/>
      <c r="E26" s="58"/>
      <c r="F26" s="58"/>
      <c r="G26" s="58"/>
      <c r="J26" s="0" t="s">
        <v>135</v>
      </c>
      <c r="K26" s="43" t="n">
        <v>216000</v>
      </c>
      <c r="L26" s="43" t="n">
        <v>3</v>
      </c>
      <c r="M26" s="43" t="n">
        <f aca="false">K26*L26</f>
        <v>648000</v>
      </c>
      <c r="O26" s="58"/>
    </row>
    <row r="27" customFormat="false" ht="12.75" hidden="false" customHeight="false" outlineLevel="0" collapsed="false">
      <c r="B27" s="67" t="s">
        <v>237</v>
      </c>
      <c r="C27" s="58"/>
      <c r="E27" s="71" t="n">
        <v>0</v>
      </c>
      <c r="F27" s="58"/>
      <c r="G27" s="71" t="n">
        <v>0</v>
      </c>
      <c r="J27" s="0" t="s">
        <v>136</v>
      </c>
      <c r="K27" s="43" t="n">
        <v>222000</v>
      </c>
      <c r="L27" s="43" t="n">
        <v>0</v>
      </c>
      <c r="M27" s="43" t="n">
        <f aca="false">K27*L27</f>
        <v>0</v>
      </c>
      <c r="O27" s="71" t="n">
        <f aca="false">+U21+U22</f>
        <v>0</v>
      </c>
    </row>
    <row r="28" customFormat="false" ht="12.75" hidden="false" customHeight="false" outlineLevel="0" collapsed="false">
      <c r="J28" s="0" t="s">
        <v>138</v>
      </c>
      <c r="K28" s="43" t="n">
        <v>300000</v>
      </c>
      <c r="L28" s="43" t="n">
        <v>0</v>
      </c>
      <c r="M28" s="43" t="n">
        <f aca="false">K28*L28</f>
        <v>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111</v>
      </c>
      <c r="F29" s="58"/>
      <c r="G29" s="71" t="n">
        <f aca="false">+G27+G25</f>
        <v>12</v>
      </c>
      <c r="H29" s="43"/>
      <c r="K29" s="43"/>
      <c r="L29" s="43" t="n">
        <f aca="false">SUM(L17:L28)</f>
        <v>12</v>
      </c>
      <c r="M29" s="43" t="n">
        <f aca="false">SUM(M17:M28)</f>
        <v>1776000</v>
      </c>
      <c r="O29" s="71" t="n">
        <v>1</v>
      </c>
    </row>
    <row r="30" customFormat="false" ht="12.75" hidden="false" customHeight="false" outlineLevel="0" collapsed="false">
      <c r="K30" s="43"/>
      <c r="L30" s="43"/>
      <c r="M30" s="43"/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'[12]Team Report'!BA29</f>
        <v>0</v>
      </c>
      <c r="E31" s="58" t="n">
        <f aca="false">(C31/9)*12</f>
        <v>0</v>
      </c>
      <c r="F31" s="58"/>
      <c r="J31" s="0" t="s">
        <v>228</v>
      </c>
      <c r="K31" s="43"/>
      <c r="L31" s="72"/>
      <c r="M31" s="72" t="n">
        <v>0.2</v>
      </c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'[12]Team Report'!BA30</f>
        <v>0</v>
      </c>
      <c r="E32" s="58" t="n">
        <f aca="false">(C32/9)*12</f>
        <v>0</v>
      </c>
      <c r="F32" s="58"/>
      <c r="K32" s="43"/>
      <c r="L32" s="43"/>
      <c r="M32" s="43"/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'[12]Team Report'!BA31</f>
        <v>0</v>
      </c>
      <c r="E33" s="58" t="n">
        <f aca="false">(C33/9)*12</f>
        <v>0</v>
      </c>
      <c r="F33" s="58"/>
      <c r="J33" s="0" t="s">
        <v>238</v>
      </c>
      <c r="K33" s="43" t="n">
        <v>160000</v>
      </c>
      <c r="L33" s="43" t="n">
        <v>0</v>
      </c>
      <c r="M33" s="43" t="n">
        <f aca="false">K33*L33</f>
        <v>0</v>
      </c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'[12]Team Report'!BA39</f>
        <v>-7489842.25</v>
      </c>
      <c r="E34" s="58" t="n">
        <v>0</v>
      </c>
      <c r="F34" s="58"/>
      <c r="K34" s="43"/>
      <c r="L34" s="43"/>
      <c r="M34" s="43"/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'[12]Team Report'!BA40</f>
        <v>2999489.79</v>
      </c>
      <c r="E35" s="58" t="n">
        <v>0</v>
      </c>
      <c r="F35" s="58"/>
      <c r="K35" s="43"/>
      <c r="L35" s="43" t="n">
        <f aca="false">+L29+L33</f>
        <v>12</v>
      </c>
      <c r="M35" s="43" t="n">
        <f aca="false">M29*1.2+M33</f>
        <v>2131200</v>
      </c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'[12]Team Report'!BA41</f>
        <v>205055.59</v>
      </c>
      <c r="E36" s="58" t="n">
        <v>0</v>
      </c>
      <c r="F36" s="58"/>
      <c r="K36" s="43"/>
      <c r="L36" s="43"/>
      <c r="M36" s="43"/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'[12]Team Report'!BA43</f>
        <v>42687168.7</v>
      </c>
      <c r="E37" s="58" t="n">
        <v>0</v>
      </c>
      <c r="F37" s="58"/>
      <c r="I37" s="16" t="s">
        <v>140</v>
      </c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'[12]Team Report'!BA45</f>
        <v>8186094.07</v>
      </c>
      <c r="E38" s="58" t="n">
        <v>0</v>
      </c>
      <c r="F38" s="58"/>
    </row>
    <row r="39" customFormat="false" ht="12.75" hidden="false" customHeight="false" outlineLevel="0" collapsed="false">
      <c r="I39" s="0" t="s">
        <v>239</v>
      </c>
    </row>
    <row r="40" customFormat="false" ht="12.75" hidden="false" customHeight="false" outlineLevel="0" collapsed="false">
      <c r="C40" s="96" t="n">
        <f aca="false">C23+C31+C32+C33+C34+C35+C36+C37+C38</f>
        <v>96937092.01</v>
      </c>
    </row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70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5.13"/>
    <col collapsed="false" customWidth="true" hidden="true" outlineLevel="0" max="7" min="7" style="0" width="4.56"/>
    <col collapsed="false" customWidth="true" hidden="true" outlineLevel="0" max="8" min="8" style="0" width="3.99"/>
    <col collapsed="false" customWidth="true" hidden="true" outlineLevel="0" max="9" min="9" style="0" width="14.14"/>
    <col collapsed="false" customWidth="true" hidden="true" outlineLevel="0" max="10" min="10" style="0" width="14.28"/>
    <col collapsed="false" customWidth="true" hidden="true" outlineLevel="0" max="11" min="11" style="0" width="10.41"/>
    <col collapsed="false" customWidth="true" hidden="true" outlineLevel="0" max="12" min="12" style="43" width="11.28"/>
    <col collapsed="false" customWidth="true" hidden="true" outlineLevel="0" max="13" min="13" style="0" width="1.41"/>
    <col collapsed="false" customWidth="true" hidden="true" outlineLevel="0" max="14" min="14" style="0" width="10.28"/>
    <col collapsed="false" customWidth="true" hidden="true" outlineLevel="0" max="15" min="15" style="0" width="2.56"/>
    <col collapsed="false" customWidth="true" hidden="true" outlineLevel="0" max="16" min="16" style="0" width="13.85"/>
    <col collapsed="false" customWidth="true" hidden="true" outlineLevel="0" max="53" min="17" style="0" width="9.14"/>
  </cols>
  <sheetData>
    <row r="1" customFormat="false" ht="18" hidden="false" customHeight="false" outlineLevel="0" collapsed="false">
      <c r="B1" s="44" t="str">
        <f aca="false">'[13]Team Report'!B1</f>
        <v>Enron North America</v>
      </c>
      <c r="C1" s="44"/>
      <c r="D1" s="44"/>
      <c r="E1" s="44"/>
      <c r="F1" s="44"/>
      <c r="G1" s="46"/>
      <c r="H1" s="46"/>
      <c r="I1" s="46"/>
      <c r="J1" s="46"/>
      <c r="K1" s="46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customFormat="false" ht="18" hidden="false" customHeight="false" outlineLevel="0" collapsed="false">
      <c r="B2" s="44" t="str">
        <f aca="false">'[13]Pull Sheet'!E9</f>
        <v>Tax</v>
      </c>
      <c r="C2" s="44"/>
      <c r="D2" s="44"/>
      <c r="E2" s="44"/>
      <c r="F2" s="44"/>
      <c r="G2" s="46"/>
      <c r="H2" s="46"/>
      <c r="I2" s="46"/>
      <c r="J2" s="46"/>
      <c r="K2" s="46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customFormat="false" ht="18" hidden="false" customHeight="false" outlineLevel="0" collapsed="false">
      <c r="B3" s="47" t="s">
        <v>5</v>
      </c>
      <c r="C3" s="47"/>
      <c r="D3" s="47"/>
      <c r="E3" s="47"/>
      <c r="F3" s="47"/>
      <c r="G3" s="48"/>
      <c r="H3" s="48"/>
      <c r="I3" s="48"/>
      <c r="J3" s="48"/>
      <c r="K3" s="48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customFormat="false" ht="12.75" hidden="false" customHeight="false" outlineLevel="0" collapsed="false">
      <c r="J4" s="106"/>
      <c r="K4" s="107"/>
      <c r="L4" s="108"/>
      <c r="M4" s="107"/>
      <c r="N4" s="107"/>
      <c r="O4" s="107"/>
      <c r="P4" s="109"/>
    </row>
    <row r="5" customFormat="false" ht="12.75" hidden="false" customHeight="false" outlineLevel="0" collapsed="false">
      <c r="J5" s="110"/>
      <c r="K5" s="21"/>
      <c r="M5" s="21"/>
      <c r="N5" s="21"/>
      <c r="O5" s="21"/>
      <c r="P5" s="32"/>
    </row>
    <row r="6" customFormat="false" ht="12.75" hidden="false" customHeight="false" outlineLevel="0" collapsed="false">
      <c r="C6" s="54" t="n">
        <v>37135</v>
      </c>
      <c r="E6" s="54" t="s">
        <v>88</v>
      </c>
      <c r="F6" s="54" t="s">
        <v>90</v>
      </c>
      <c r="J6" s="110"/>
      <c r="K6" s="21"/>
      <c r="L6" s="43" t="s">
        <v>85</v>
      </c>
      <c r="M6" s="21"/>
      <c r="N6" s="21" t="s">
        <v>86</v>
      </c>
      <c r="O6" s="21"/>
      <c r="P6" s="32" t="s">
        <v>240</v>
      </c>
      <c r="Q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 t="s">
        <v>94</v>
      </c>
      <c r="H7" s="16"/>
      <c r="J7" s="111"/>
      <c r="K7" s="43"/>
      <c r="M7" s="43"/>
      <c r="N7" s="43"/>
      <c r="O7" s="43"/>
      <c r="P7" s="112"/>
      <c r="Q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'[13]Team Report'!BA25</f>
        <v>1971599.02</v>
      </c>
      <c r="E8" s="58" t="n">
        <f aca="false">((C8/9)*12)*1.2</f>
        <v>3154558.432</v>
      </c>
      <c r="F8" s="58" t="n">
        <f aca="false">L23+L24+45000</f>
        <v>735000</v>
      </c>
      <c r="J8" s="110" t="s">
        <v>96</v>
      </c>
      <c r="K8" s="43"/>
      <c r="L8" s="43" t="n">
        <v>0</v>
      </c>
      <c r="M8" s="43"/>
      <c r="N8" s="43" t="n">
        <v>4</v>
      </c>
      <c r="O8" s="43"/>
      <c r="P8" s="112" t="n">
        <f aca="false">L31</f>
        <v>828000</v>
      </c>
      <c r="Q8" s="58" t="n">
        <f aca="false">+F8/$F$29*$Q$29</f>
        <v>147000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((C9/9)*12)*1.2</f>
        <v>0</v>
      </c>
      <c r="F9" s="58"/>
      <c r="J9" s="110"/>
      <c r="K9" s="43"/>
      <c r="M9" s="43"/>
      <c r="N9" s="43"/>
      <c r="O9" s="43"/>
      <c r="P9" s="112"/>
      <c r="Q9" s="58" t="n">
        <f aca="false">+F9/$F$29*$Q$29</f>
        <v>0</v>
      </c>
    </row>
    <row r="10" customFormat="false" ht="12.75" hidden="true" customHeight="false" outlineLevel="0" collapsed="false">
      <c r="B10" s="57" t="s">
        <v>176</v>
      </c>
      <c r="C10" s="58" t="n">
        <v>0</v>
      </c>
      <c r="E10" s="58" t="n">
        <f aca="false">((C10/9)*12)*1.2</f>
        <v>0</v>
      </c>
      <c r="F10" s="58"/>
      <c r="J10" s="110" t="s">
        <v>67</v>
      </c>
      <c r="K10" s="43"/>
      <c r="L10" s="43" t="n">
        <f aca="false">+(E12+E13+E14+E15+E16+E17+E18+E19+E20+E21+E22)/E29</f>
        <v>16010.891654321</v>
      </c>
      <c r="M10" s="43"/>
      <c r="N10" s="43" t="n">
        <v>4</v>
      </c>
      <c r="O10" s="43"/>
      <c r="P10" s="112" t="n">
        <f aca="false">L10*N10+67934+22</f>
        <v>131999.566617284</v>
      </c>
      <c r="Q10" s="58" t="n">
        <f aca="false">+F10/$F$29*$Q$29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'[13]Team Report'!BA26</f>
        <v>441478.67</v>
      </c>
      <c r="E11" s="58" t="n">
        <f aca="false">((C11/9)*12)*1.2</f>
        <v>706365.872</v>
      </c>
      <c r="F11" s="58" t="n">
        <f aca="false">F8*0.2</f>
        <v>147000</v>
      </c>
      <c r="J11" s="110"/>
      <c r="K11" s="43"/>
      <c r="M11" s="43"/>
      <c r="N11" s="43"/>
      <c r="O11" s="43"/>
      <c r="P11" s="112"/>
      <c r="Q11" s="58" t="n">
        <f aca="false">+F11/$F$29*$Q$29</f>
        <v>29400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'[13]Team Report'!BA27</f>
        <v>93416.53</v>
      </c>
      <c r="E12" s="58" t="n">
        <f aca="false">((C12/9)*12)*1.6</f>
        <v>199288.597333333</v>
      </c>
      <c r="F12" s="58" t="n">
        <f aca="false">(E12/$E$25*$N$8)+20000</f>
        <v>49524.2366419753</v>
      </c>
      <c r="J12" s="110"/>
      <c r="K12" s="43"/>
      <c r="M12" s="43"/>
      <c r="N12" s="43"/>
      <c r="O12" s="43"/>
      <c r="P12" s="112" t="n">
        <f aca="false">SUM(P8:P10)</f>
        <v>959999.566617284</v>
      </c>
      <c r="Q12" s="58" t="n">
        <f aca="false">+F12/$F$29*$Q$29</f>
        <v>9904.84732839506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'[13]Team Report'!BA28</f>
        <v>59005.25</v>
      </c>
      <c r="E13" s="58" t="n">
        <f aca="false">((C13/9)*12)*1.4</f>
        <v>110143.133333333</v>
      </c>
      <c r="F13" s="58" t="n">
        <f aca="false">(E13/$E$25*$N$8)+10000</f>
        <v>26317.5012345679</v>
      </c>
      <c r="J13" s="113"/>
      <c r="K13" s="114"/>
      <c r="L13" s="114"/>
      <c r="M13" s="114"/>
      <c r="N13" s="114"/>
      <c r="O13" s="114"/>
      <c r="P13" s="115"/>
      <c r="Q13" s="58" t="n">
        <f aca="false">+F13/$F$29*$Q$29</f>
        <v>5263.50024691358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'[13]Team Report'!BA32-C39</f>
        <v>0.470000000030268</v>
      </c>
      <c r="E14" s="58" t="n">
        <f aca="false">((C14/9)*12)*1.2</f>
        <v>0.752000000048429</v>
      </c>
      <c r="F14" s="58" t="n">
        <f aca="false">E14/$E$25*$N$8</f>
        <v>0.111407407414582</v>
      </c>
      <c r="I14" s="60" t="n">
        <f aca="false">P12-F23</f>
        <v>-54000</v>
      </c>
      <c r="Q14" s="58" t="n">
        <f aca="false">+F14/$F$29*$Q$29</f>
        <v>0.0222814814829164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'[13]Team Report'!BA33</f>
        <v>23102.66</v>
      </c>
      <c r="E15" s="58" t="n">
        <f aca="false">((C15/9)*12)*1.6</f>
        <v>49285.6746666667</v>
      </c>
      <c r="F15" s="58" t="n">
        <f aca="false">(E15/$E$25*$N$8)+12000</f>
        <v>19301.5814320988</v>
      </c>
      <c r="Q15" s="58" t="n">
        <f aca="false">+F15/$F$29*$Q$29</f>
        <v>3860.31628641975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'[13]Team Report'!BA34</f>
        <v>0</v>
      </c>
      <c r="E16" s="58" t="n">
        <f aca="false">((C16/9)*12)*1.2</f>
        <v>0</v>
      </c>
      <c r="F16" s="58" t="n">
        <f aca="false">E16/$E$25*$N$8</f>
        <v>0</v>
      </c>
      <c r="J16" s="21" t="s">
        <v>177</v>
      </c>
      <c r="K16" s="43" t="n">
        <v>30000</v>
      </c>
      <c r="L16" s="43" t="n">
        <f aca="false">I16*K16</f>
        <v>0</v>
      </c>
      <c r="Q16" s="58" t="n">
        <f aca="false">+F16/$F$29*$Q$29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'[13]Team Report'!BA35</f>
        <v>0</v>
      </c>
      <c r="E17" s="58" t="n">
        <f aca="false">((C17/9)*12)*1.2</f>
        <v>0</v>
      </c>
      <c r="F17" s="58" t="n">
        <f aca="false">E17/$E$25*$N$8</f>
        <v>0</v>
      </c>
      <c r="J17" s="0" t="s">
        <v>220</v>
      </c>
      <c r="K17" s="43" t="n">
        <v>40000</v>
      </c>
      <c r="L17" s="43" t="n">
        <f aca="false">I17*K17</f>
        <v>0</v>
      </c>
      <c r="Q17" s="58" t="n">
        <f aca="false">+F17/$F$29*$Q$29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'[13]Team Report'!BA36</f>
        <v>0</v>
      </c>
      <c r="E18" s="58" t="n">
        <f aca="false">((C18/9)*12)*1.2</f>
        <v>0</v>
      </c>
      <c r="F18" s="58" t="n">
        <f aca="false">E18/$E$25*$N$8</f>
        <v>0</v>
      </c>
      <c r="J18" s="0" t="s">
        <v>118</v>
      </c>
      <c r="K18" s="43" t="n">
        <v>41000</v>
      </c>
      <c r="L18" s="43" t="n">
        <f aca="false">I18*K18</f>
        <v>0</v>
      </c>
      <c r="Q18" s="58" t="n">
        <f aca="false">+F18/$F$29*$Q$29</f>
        <v>0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'[13]Team Report'!BA37</f>
        <v>13879.95</v>
      </c>
      <c r="E19" s="58" t="n">
        <f aca="false">((C19/9)*12)*1.6</f>
        <v>29610.56</v>
      </c>
      <c r="F19" s="58" t="n">
        <f aca="false">(E19/$E$25*$N$8)+15000</f>
        <v>19386.7496296296</v>
      </c>
      <c r="J19" s="0" t="s">
        <v>221</v>
      </c>
      <c r="K19" s="43" t="n">
        <v>48000</v>
      </c>
      <c r="L19" s="43" t="n">
        <f aca="false">I19*K19</f>
        <v>0</v>
      </c>
      <c r="Q19" s="58" t="n">
        <f aca="false">+F19/$F$29*$Q$29</f>
        <v>3877.34992592593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'[13]Team Report'!BA38</f>
        <v>0</v>
      </c>
      <c r="E20" s="58" t="n">
        <f aca="false">((C20/9)*12)*1.2</f>
        <v>0</v>
      </c>
      <c r="F20" s="58" t="n">
        <f aca="false">E20/$E$25*$N$8</f>
        <v>0</v>
      </c>
      <c r="J20" s="0" t="s">
        <v>121</v>
      </c>
      <c r="K20" s="43" t="n">
        <v>52000</v>
      </c>
      <c r="L20" s="43" t="n">
        <f aca="false">I20*K20</f>
        <v>0</v>
      </c>
      <c r="Q20" s="58" t="n">
        <f aca="false">+F20/$F$29*$Q$29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'[13]Team Report'!BA42</f>
        <v>23120.5</v>
      </c>
      <c r="E21" s="58" t="n">
        <f aca="false">((C21/9)*12)*1.4</f>
        <v>43158.2666666667</v>
      </c>
      <c r="F21" s="58" t="n">
        <f aca="false">(E21/$E$25*$N$8)+10956</f>
        <v>17349.8172839506</v>
      </c>
      <c r="J21" s="0" t="s">
        <v>241</v>
      </c>
      <c r="K21" s="43" t="n">
        <v>62000</v>
      </c>
      <c r="L21" s="43" t="n">
        <f aca="false">I21*K21</f>
        <v>0</v>
      </c>
      <c r="Q21" s="58" t="n">
        <f aca="false">+F21/$F$29*$Q$29</f>
        <v>3469.96345679012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'[13]Team Report'!BA44</f>
        <v>432.37</v>
      </c>
      <c r="E22" s="58" t="n">
        <f aca="false">((C22/9)*12)*1.4</f>
        <v>807.090666666667</v>
      </c>
      <c r="F22" s="58" t="n">
        <f aca="false">E22/$E$25*$N$8</f>
        <v>119.568987654321</v>
      </c>
      <c r="J22" s="0" t="s">
        <v>223</v>
      </c>
      <c r="K22" s="43" t="n">
        <v>75000</v>
      </c>
      <c r="L22" s="43" t="n">
        <f aca="false">I22*K22</f>
        <v>0</v>
      </c>
      <c r="Q22" s="58" t="n">
        <f aca="false">+F22/$F$29*$Q$29</f>
        <v>23.9137975308642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2626035.42</v>
      </c>
      <c r="E23" s="68" t="n">
        <f aca="false">SUM(E8:E22)</f>
        <v>4293218.37866667</v>
      </c>
      <c r="F23" s="68" t="n">
        <f aca="false">SUM(F8:F22)</f>
        <v>1013999.56661728</v>
      </c>
      <c r="I23" s="0" t="n">
        <v>1</v>
      </c>
      <c r="J23" s="0" t="s">
        <v>224</v>
      </c>
      <c r="K23" s="43" t="n">
        <f aca="false">125000*1.2</f>
        <v>150000</v>
      </c>
      <c r="L23" s="43" t="n">
        <f aca="false">I23*K23</f>
        <v>150000</v>
      </c>
      <c r="Q23" s="68" t="n">
        <f aca="false">SUM(Q8:Q22)</f>
        <v>202799.913323457</v>
      </c>
    </row>
    <row r="24" customFormat="false" ht="12.75" hidden="false" customHeight="false" outlineLevel="0" collapsed="false">
      <c r="I24" s="0" t="n">
        <v>3</v>
      </c>
      <c r="J24" s="0" t="s">
        <v>225</v>
      </c>
      <c r="K24" s="43" t="n">
        <f aca="false">150000*1.2</f>
        <v>180000</v>
      </c>
      <c r="L24" s="43" t="n">
        <f aca="false">I24*K24</f>
        <v>540000</v>
      </c>
    </row>
    <row r="25" customFormat="false" ht="12.75" hidden="false" customHeight="false" outlineLevel="0" collapsed="false">
      <c r="B25" s="67" t="s">
        <v>9</v>
      </c>
      <c r="C25" s="58"/>
      <c r="E25" s="71" t="n">
        <v>27</v>
      </c>
      <c r="F25" s="71" t="n">
        <v>5</v>
      </c>
      <c r="J25" s="0" t="s">
        <v>226</v>
      </c>
      <c r="K25" s="43" t="n">
        <v>180000</v>
      </c>
      <c r="L25" s="43" t="n">
        <f aca="false">I25*K25</f>
        <v>0</v>
      </c>
      <c r="Q25" s="71" t="n">
        <v>1</v>
      </c>
    </row>
    <row r="26" customFormat="false" ht="12.75" hidden="false" customHeight="false" outlineLevel="0" collapsed="false">
      <c r="C26" s="58"/>
      <c r="E26" s="58"/>
      <c r="F26" s="58"/>
      <c r="J26" s="0" t="s">
        <v>227</v>
      </c>
      <c r="K26" s="43" t="n">
        <v>260000</v>
      </c>
      <c r="L26" s="43" t="n">
        <f aca="false">I26*K26</f>
        <v>0</v>
      </c>
      <c r="Q26" s="58"/>
    </row>
    <row r="27" customFormat="false" ht="12.75" hidden="false" customHeight="false" outlineLevel="0" collapsed="false">
      <c r="B27" s="67" t="s">
        <v>237</v>
      </c>
      <c r="C27" s="58"/>
      <c r="E27" s="71" t="n">
        <v>0</v>
      </c>
      <c r="F27" s="71"/>
      <c r="K27" s="43"/>
      <c r="L27" s="43" t="n">
        <f aca="false">SUM(L16:L26)</f>
        <v>690000</v>
      </c>
      <c r="Q27" s="71"/>
    </row>
    <row r="28" customFormat="false" ht="12.75" hidden="false" customHeight="false" outlineLevel="0" collapsed="false">
      <c r="K28" s="43"/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27</v>
      </c>
      <c r="F29" s="71" t="n">
        <f aca="false">SUM(F25:F27)</f>
        <v>5</v>
      </c>
      <c r="G29" s="58"/>
      <c r="H29" s="43"/>
      <c r="J29" s="0" t="s">
        <v>228</v>
      </c>
      <c r="K29" s="43"/>
      <c r="L29" s="72" t="n">
        <v>0.2</v>
      </c>
      <c r="Q29" s="71" t="n">
        <f aca="false">SUM(Q25:Q27)</f>
        <v>1</v>
      </c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'[13]Team Report'!BA29</f>
        <v>0</v>
      </c>
      <c r="E31" s="58" t="n">
        <f aca="false">(C31/9)*12</f>
        <v>0</v>
      </c>
      <c r="F31" s="58"/>
      <c r="L31" s="43" t="n">
        <f aca="false">L27*1.2</f>
        <v>828000</v>
      </c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'[13]Team Report'!BA30</f>
        <v>-3920.75</v>
      </c>
      <c r="E32" s="58" t="n">
        <f aca="false">(C32/9)*12</f>
        <v>-5227.66666666667</v>
      </c>
      <c r="F32" s="58"/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'[13]Team Report'!BA31</f>
        <v>0</v>
      </c>
      <c r="E33" s="58" t="n">
        <f aca="false">(C33/9)*12</f>
        <v>0</v>
      </c>
      <c r="F33" s="58"/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'[13]Team Report'!BA39</f>
        <v>0</v>
      </c>
      <c r="E34" s="58" t="n">
        <f aca="false">(C34/9)*12</f>
        <v>0</v>
      </c>
      <c r="F34" s="58"/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'[13]Team Report'!BA40</f>
        <v>37953.1</v>
      </c>
      <c r="E35" s="58" t="n">
        <f aca="false">(C35/9)*12</f>
        <v>50604.1333333333</v>
      </c>
      <c r="F35" s="58"/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'[13]Team Report'!BA41</f>
        <v>218397.73</v>
      </c>
      <c r="E36" s="58" t="n">
        <f aca="false">(C36/9)*12</f>
        <v>291196.973333333</v>
      </c>
      <c r="F36" s="58"/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'[13]Team Report'!BA43</f>
        <v>-1506130.81</v>
      </c>
      <c r="E37" s="58" t="n">
        <f aca="false">(C37/9)*12</f>
        <v>-2008174.41333333</v>
      </c>
      <c r="F37" s="58"/>
      <c r="I37" s="16" t="s">
        <v>140</v>
      </c>
      <c r="J37" s="43"/>
      <c r="K37" s="43"/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'[13]Team Report'!BA45</f>
        <v>0</v>
      </c>
      <c r="E38" s="58" t="n">
        <f aca="false">(C38/9)*12</f>
        <v>0</v>
      </c>
      <c r="F38" s="58"/>
      <c r="J38" s="43"/>
      <c r="K38" s="43"/>
    </row>
    <row r="39" customFormat="false" ht="12.75" hidden="true" customHeight="false" outlineLevel="0" collapsed="false">
      <c r="A39" s="56"/>
      <c r="B39" s="57" t="s">
        <v>107</v>
      </c>
      <c r="C39" s="58" t="n">
        <v>195340</v>
      </c>
      <c r="E39" s="58"/>
      <c r="F39" s="58"/>
      <c r="I39" s="73" t="s">
        <v>141</v>
      </c>
      <c r="J39" s="74" t="s">
        <v>142</v>
      </c>
      <c r="K39" s="74" t="s">
        <v>143</v>
      </c>
      <c r="L39" s="74" t="s">
        <v>86</v>
      </c>
      <c r="N39" s="74" t="s">
        <v>144</v>
      </c>
    </row>
    <row r="40" customFormat="false" ht="12.75" hidden="false" customHeight="false" outlineLevel="0" collapsed="false">
      <c r="I40" s="75" t="n">
        <f aca="false">SUM(E12:E22)</f>
        <v>432294.074666667</v>
      </c>
      <c r="J40" s="103" t="n">
        <f aca="false">+E29</f>
        <v>27</v>
      </c>
      <c r="K40" s="74" t="n">
        <f aca="false">+I40/J40</f>
        <v>16010.891654321</v>
      </c>
      <c r="L40" s="74" t="n">
        <f aca="false">+N10</f>
        <v>4</v>
      </c>
      <c r="M40" s="74" t="n">
        <f aca="false">+K40*L40</f>
        <v>64043.566617284</v>
      </c>
      <c r="N40" s="43" t="n">
        <f aca="false">+L40*K40</f>
        <v>64043.566617284</v>
      </c>
    </row>
    <row r="41" customFormat="false" ht="12.75" hidden="false" customHeight="false" outlineLevel="0" collapsed="false">
      <c r="C41" s="96" t="n">
        <f aca="false">C23+C31+C32+C33+C34+C35+C36+C37+C38+C39</f>
        <v>1567674.69</v>
      </c>
    </row>
    <row r="42" customFormat="false" ht="12.75" hidden="false" customHeight="false" outlineLevel="0" collapsed="false">
      <c r="I42" s="0" t="s">
        <v>242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42"/>
    <col collapsed="false" customWidth="true" hidden="true" outlineLevel="0" max="8" min="8" style="0" width="13.56"/>
    <col collapsed="false" customWidth="true" hidden="true" outlineLevel="0" max="9" min="9" style="0" width="12.99"/>
    <col collapsed="false" customWidth="true" hidden="true" outlineLevel="0" max="10" min="10" style="43" width="10.41"/>
    <col collapsed="false" customWidth="true" hidden="true" outlineLevel="0" max="11" min="11" style="43" width="10.85"/>
    <col collapsed="false" customWidth="true" hidden="true" outlineLevel="0" max="12" min="12" style="43" width="11.42"/>
    <col collapsed="false" customWidth="true" hidden="true" outlineLevel="0" max="16" min="13" style="0" width="9.14"/>
    <col collapsed="false" customWidth="false" hidden="true" outlineLevel="0" max="54" min="17" style="0" width="9.06"/>
  </cols>
  <sheetData>
    <row r="1" customFormat="false" ht="18" hidden="false" customHeight="false" outlineLevel="0" collapsed="false">
      <c r="B1" s="44" t="str">
        <f aca="false">'[14]Team Report'!B1</f>
        <v>Enron North America</v>
      </c>
      <c r="C1" s="44"/>
      <c r="D1" s="44"/>
      <c r="E1" s="44"/>
      <c r="F1" s="44"/>
      <c r="G1" s="44"/>
      <c r="H1" s="46"/>
      <c r="I1" s="46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40</v>
      </c>
      <c r="C2" s="44"/>
      <c r="D2" s="44"/>
      <c r="E2" s="44"/>
      <c r="F2" s="44"/>
      <c r="G2" s="44"/>
      <c r="H2" s="46"/>
      <c r="I2" s="46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8"/>
      <c r="I3" s="48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79"/>
      <c r="J4" s="80"/>
      <c r="K4" s="80"/>
      <c r="L4" s="81"/>
    </row>
    <row r="5" customFormat="false" ht="12.75" hidden="false" customHeight="false" outlineLevel="0" collapsed="false">
      <c r="I5" s="82"/>
      <c r="J5" s="21" t="s">
        <v>85</v>
      </c>
      <c r="K5" s="21" t="s">
        <v>86</v>
      </c>
      <c r="L5" s="8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90</v>
      </c>
      <c r="I6" s="82"/>
      <c r="J6" s="21"/>
      <c r="K6" s="21"/>
      <c r="L6" s="83"/>
      <c r="O6" s="94" t="n">
        <v>2002</v>
      </c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94</v>
      </c>
      <c r="I7" s="82"/>
      <c r="J7" s="21"/>
      <c r="K7" s="21"/>
      <c r="L7" s="8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99" t="n">
        <f aca="false">'[14]Team Report'!BA25</f>
        <v>10228335.79</v>
      </c>
      <c r="E8" s="58" t="n">
        <f aca="false">(C8/9)*12</f>
        <v>13637781.0533333</v>
      </c>
      <c r="G8" s="58" t="n">
        <f aca="false">L28+46200</f>
        <v>1695000</v>
      </c>
      <c r="I8" s="82" t="s">
        <v>96</v>
      </c>
      <c r="J8" s="43" t="n">
        <v>0</v>
      </c>
      <c r="K8" s="21"/>
      <c r="L8" s="86" t="n">
        <f aca="false">L28*1.2</f>
        <v>1978560</v>
      </c>
      <c r="O8" s="58" t="n">
        <f aca="false">+G8/$G$29*$O$29</f>
        <v>169500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(C9/9)*12</f>
        <v>0</v>
      </c>
      <c r="G9" s="58" t="n">
        <v>0</v>
      </c>
      <c r="I9" s="82"/>
      <c r="J9" s="21"/>
      <c r="K9" s="21"/>
      <c r="L9" s="83"/>
      <c r="O9" s="58" t="n">
        <f aca="false">+G9/$G$29*$O$29</f>
        <v>0</v>
      </c>
    </row>
    <row r="10" customFormat="false" ht="12.75" hidden="true" customHeight="false" outlineLevel="0" collapsed="false">
      <c r="A10" s="56"/>
      <c r="B10" s="57" t="s">
        <v>198</v>
      </c>
      <c r="C10" s="58" t="n">
        <v>0</v>
      </c>
      <c r="E10" s="58" t="n">
        <f aca="false">(C10/9)*12</f>
        <v>0</v>
      </c>
      <c r="G10" s="58" t="n">
        <v>0</v>
      </c>
      <c r="I10" s="82"/>
      <c r="J10" s="21"/>
      <c r="K10" s="21"/>
      <c r="L10" s="83"/>
      <c r="O10" s="58" t="n">
        <f aca="false">+G10/$G$29*$O$29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'[14]Team Report'!BA26</f>
        <v>1877442.13</v>
      </c>
      <c r="E11" s="58" t="n">
        <f aca="false">(C11/9)*12</f>
        <v>2503256.17333333</v>
      </c>
      <c r="G11" s="58" t="n">
        <f aca="false">L32-L28+9240</f>
        <v>339000</v>
      </c>
      <c r="I11" s="82" t="s">
        <v>67</v>
      </c>
      <c r="J11" s="74" t="n">
        <f aca="false">(E12+E13+E14+E15+E16+E17+E18+E19+E20+E21+E22)/E29</f>
        <v>22231.7342942943</v>
      </c>
      <c r="K11" s="21" t="n">
        <f aca="false">K28</f>
        <v>10</v>
      </c>
      <c r="L11" s="86" t="n">
        <f aca="false">J11*K11</f>
        <v>222317.342942943</v>
      </c>
      <c r="O11" s="58" t="n">
        <f aca="false">+G11/$G$29*$O$29</f>
        <v>33900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'[14]Team Report'!BA27</f>
        <v>405632.98</v>
      </c>
      <c r="E12" s="58" t="n">
        <f aca="false">(C12/9)*12</f>
        <v>540843.973333333</v>
      </c>
      <c r="G12" s="58" t="n">
        <f aca="false">(E12/$E$29)*$K$11+51275</f>
        <v>99999.6822822823</v>
      </c>
      <c r="I12" s="82"/>
      <c r="J12" s="21"/>
      <c r="K12" s="21"/>
      <c r="L12" s="83"/>
      <c r="O12" s="58" t="n">
        <f aca="false">+G12/$G$29*$O$29</f>
        <v>9999.96822822823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'[14]Team Report'!BA28</f>
        <v>648740.17</v>
      </c>
      <c r="E13" s="58" t="n">
        <f aca="false">(C13/9)*12</f>
        <v>864986.893333333</v>
      </c>
      <c r="G13" s="58" t="n">
        <f aca="false">(E13/$E$29)*$K$11+522073</f>
        <v>599999.747147147</v>
      </c>
      <c r="I13" s="87" t="s">
        <v>105</v>
      </c>
      <c r="J13" s="88"/>
      <c r="K13" s="88"/>
      <c r="L13" s="89" t="n">
        <f aca="false">L8+L11</f>
        <v>2200877.34294294</v>
      </c>
      <c r="N13" s="0" t="n">
        <v>1893527</v>
      </c>
      <c r="O13" s="58" t="n">
        <f aca="false">+G13/$G$29*$O$29</f>
        <v>59999.9747147147</v>
      </c>
      <c r="P13" s="60" t="n">
        <f aca="false">N13-L13</f>
        <v>-307350.342942943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v>0</v>
      </c>
      <c r="E14" s="58" t="n">
        <f aca="false">(C14/9)*12</f>
        <v>0</v>
      </c>
      <c r="G14" s="58" t="n">
        <v>3500000</v>
      </c>
      <c r="J14" s="0"/>
      <c r="K14" s="0"/>
      <c r="L14" s="0"/>
      <c r="O14" s="58" t="n">
        <f aca="false">+G14/$G$29*$O$29</f>
        <v>350000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'[14]Team Report'!BA33</f>
        <v>76876.32</v>
      </c>
      <c r="E15" s="58" t="n">
        <f aca="false">(C15/9)*12-25000</f>
        <v>77501.76</v>
      </c>
      <c r="G15" s="58" t="n">
        <f aca="false">(E15/$E$29)*$K$11</f>
        <v>6982.14054054054</v>
      </c>
      <c r="J15" s="0"/>
      <c r="K15" s="0"/>
      <c r="L15" s="0"/>
      <c r="O15" s="58" t="n">
        <f aca="false">+G15/$G$29*$O$29</f>
        <v>698.214054054054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'[14]Team Report'!BA34</f>
        <v>0</v>
      </c>
      <c r="E16" s="58" t="n">
        <f aca="false">(C16/9)*12</f>
        <v>0</v>
      </c>
      <c r="G16" s="58" t="n">
        <f aca="false">(E16/$E$29)*$K$11</f>
        <v>0</v>
      </c>
      <c r="I16" s="0" t="s">
        <v>177</v>
      </c>
      <c r="J16" s="43" t="n">
        <v>28000</v>
      </c>
      <c r="K16" s="0" t="n">
        <v>0</v>
      </c>
      <c r="L16" s="43" t="n">
        <f aca="false">J16*K16</f>
        <v>0</v>
      </c>
      <c r="O16" s="58" t="n">
        <f aca="false">+G16/$G$29*$O$29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'[14]Team Report'!BA35</f>
        <v>0</v>
      </c>
      <c r="E17" s="58" t="n">
        <f aca="false">(C17/9)*12</f>
        <v>0</v>
      </c>
      <c r="G17" s="58" t="n">
        <f aca="false">(E17/$E$29)*$K$11</f>
        <v>0</v>
      </c>
      <c r="I17" s="0" t="s">
        <v>115</v>
      </c>
      <c r="J17" s="43" t="n">
        <v>36000</v>
      </c>
      <c r="K17" s="0" t="n">
        <v>0</v>
      </c>
      <c r="L17" s="43" t="n">
        <f aca="false">J17*K17</f>
        <v>0</v>
      </c>
      <c r="O17" s="58" t="n">
        <f aca="false">+G17/$G$29*$O$29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'[14]Team Report'!BA36</f>
        <v>5744.1</v>
      </c>
      <c r="E18" s="58" t="n">
        <f aca="false">(C18/9)*12</f>
        <v>7658.8</v>
      </c>
      <c r="G18" s="58" t="n">
        <f aca="false">(E18/$E$29)*$K$11+49310</f>
        <v>49999.981981982</v>
      </c>
      <c r="I18" s="0" t="s">
        <v>243</v>
      </c>
      <c r="J18" s="43" t="n">
        <v>48000</v>
      </c>
      <c r="K18" s="0" t="n">
        <v>0</v>
      </c>
      <c r="L18" s="43" t="n">
        <f aca="false">J18*K18</f>
        <v>0</v>
      </c>
      <c r="O18" s="58" t="n">
        <f aca="false">+G18/$G$29*$O$29</f>
        <v>4999.9981981982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'[14]Team Report'!BA37</f>
        <v>67058.6</v>
      </c>
      <c r="E19" s="58" t="n">
        <f aca="false">(C19/9)*12-25000</f>
        <v>64411.4666666666</v>
      </c>
      <c r="G19" s="58" t="n">
        <f aca="false">(E19/$E$29)*$K$11</f>
        <v>5802.83483483483</v>
      </c>
      <c r="I19" s="0" t="s">
        <v>121</v>
      </c>
      <c r="J19" s="43" t="n">
        <v>52500</v>
      </c>
      <c r="K19" s="0" t="n">
        <v>0</v>
      </c>
      <c r="L19" s="43" t="n">
        <f aca="false">J19*K19</f>
        <v>0</v>
      </c>
      <c r="O19" s="58" t="n">
        <f aca="false">+G19/$G$29*$O$29</f>
        <v>580.283483483483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'[14]Team Report'!BA38</f>
        <v>0</v>
      </c>
      <c r="E20" s="58" t="n">
        <f aca="false">(C20/9)*12</f>
        <v>0</v>
      </c>
      <c r="G20" s="58" t="n">
        <f aca="false">(E20/$E$29)*$K$11</f>
        <v>0</v>
      </c>
      <c r="I20" s="0" t="s">
        <v>124</v>
      </c>
      <c r="J20" s="43" t="n">
        <v>65000</v>
      </c>
      <c r="K20" s="0" t="n">
        <v>0</v>
      </c>
      <c r="L20" s="43" t="n">
        <f aca="false">J20*K20</f>
        <v>0</v>
      </c>
      <c r="O20" s="58" t="n">
        <f aca="false">+G20/$G$29*$O$29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'[14]Team Report'!BA42</f>
        <v>842429.76</v>
      </c>
      <c r="E21" s="58" t="n">
        <f aca="false">(C21/9)*12-200000-19525</f>
        <v>903714.68</v>
      </c>
      <c r="G21" s="58" t="n">
        <f aca="false">(E21/$E$29)*$K$11</f>
        <v>81415.736936937</v>
      </c>
      <c r="I21" s="0" t="s">
        <v>127</v>
      </c>
      <c r="J21" s="43" t="n">
        <v>55000</v>
      </c>
      <c r="K21" s="0" t="n">
        <v>0</v>
      </c>
      <c r="L21" s="43" t="n">
        <f aca="false">J21*K21</f>
        <v>0</v>
      </c>
      <c r="O21" s="58" t="n">
        <f aca="false">+G21/$G$29*$O$29</f>
        <v>8141.5736936937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'[14]Team Report'!BA44</f>
        <v>6453.7</v>
      </c>
      <c r="E22" s="58" t="n">
        <f aca="false">(C22/9)*12</f>
        <v>8604.93333333333</v>
      </c>
      <c r="G22" s="58" t="n">
        <f aca="false">(E22/$E$29)*$K$11</f>
        <v>775.219219219219</v>
      </c>
      <c r="I22" s="0" t="s">
        <v>130</v>
      </c>
      <c r="J22" s="43" t="n">
        <v>81000</v>
      </c>
      <c r="K22" s="0" t="n">
        <v>0</v>
      </c>
      <c r="L22" s="43" t="n">
        <f aca="false">J22*K22</f>
        <v>0</v>
      </c>
      <c r="O22" s="58" t="n">
        <f aca="false">+G22/$G$29*$O$29</f>
        <v>77.5219219219219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14158713.55</v>
      </c>
      <c r="E23" s="68" t="n">
        <f aca="false">SUM(E8:E22)</f>
        <v>18608759.7333333</v>
      </c>
      <c r="G23" s="68" t="n">
        <f aca="false">SUM(G8:G22)</f>
        <v>6378975.34294294</v>
      </c>
      <c r="I23" s="0" t="s">
        <v>133</v>
      </c>
      <c r="J23" s="43" t="n">
        <f aca="false">80000</f>
        <v>80000</v>
      </c>
      <c r="K23" s="0" t="n">
        <v>1</v>
      </c>
      <c r="L23" s="43" t="n">
        <f aca="false">J23*K23</f>
        <v>80000</v>
      </c>
      <c r="O23" s="68" t="n">
        <f aca="false">SUM(O8:O22)</f>
        <v>637897.534294294</v>
      </c>
    </row>
    <row r="24" customFormat="false" ht="12.75" hidden="false" customHeight="false" outlineLevel="0" collapsed="false">
      <c r="I24" s="0" t="s">
        <v>134</v>
      </c>
      <c r="J24" s="43" t="n">
        <f aca="false">115000*1.2</f>
        <v>138000</v>
      </c>
      <c r="K24" s="0" t="n">
        <v>3</v>
      </c>
      <c r="L24" s="43" t="n">
        <f aca="false">J24*K24</f>
        <v>414000</v>
      </c>
    </row>
    <row r="25" customFormat="false" ht="12.75" hidden="false" customHeight="false" outlineLevel="0" collapsed="false">
      <c r="B25" s="67" t="s">
        <v>9</v>
      </c>
      <c r="C25" s="101"/>
      <c r="E25" s="101" t="n">
        <v>111</v>
      </c>
      <c r="G25" s="101" t="n">
        <f aca="false">+K28</f>
        <v>10</v>
      </c>
      <c r="I25" s="0" t="s">
        <v>135</v>
      </c>
      <c r="J25" s="43" t="n">
        <f aca="false">140000</f>
        <v>140000</v>
      </c>
      <c r="K25" s="0" t="n">
        <v>4</v>
      </c>
      <c r="L25" s="43" t="n">
        <f aca="false">J25*K25</f>
        <v>560000</v>
      </c>
      <c r="O25" s="71" t="n">
        <f aca="false">SUM(U16:U20,U23:U27)</f>
        <v>0</v>
      </c>
    </row>
    <row r="26" customFormat="false" ht="12.75" hidden="false" customHeight="false" outlineLevel="0" collapsed="false">
      <c r="I26" s="0" t="s">
        <v>136</v>
      </c>
      <c r="J26" s="43" t="n">
        <f aca="false">160000</f>
        <v>160000</v>
      </c>
      <c r="K26" s="0" t="n">
        <v>2</v>
      </c>
      <c r="L26" s="43" t="n">
        <f aca="false">J26*K26</f>
        <v>320000</v>
      </c>
      <c r="O26" s="58"/>
    </row>
    <row r="27" customFormat="false" ht="12.75" hidden="false" customHeight="false" outlineLevel="0" collapsed="false">
      <c r="B27" s="67" t="s">
        <v>137</v>
      </c>
      <c r="C27" s="101"/>
      <c r="E27" s="101"/>
      <c r="G27" s="101"/>
      <c r="I27" s="0" t="s">
        <v>138</v>
      </c>
      <c r="J27" s="43" t="n">
        <f aca="false">288000</f>
        <v>288000</v>
      </c>
      <c r="K27" s="0" t="n">
        <v>0</v>
      </c>
      <c r="L27" s="43" t="n">
        <f aca="false">J27*K27</f>
        <v>0</v>
      </c>
      <c r="O27" s="71" t="n">
        <f aca="false">+U21+U22</f>
        <v>0</v>
      </c>
    </row>
    <row r="28" customFormat="false" ht="12.75" hidden="false" customHeight="false" outlineLevel="0" collapsed="false">
      <c r="J28" s="0"/>
      <c r="K28" s="0" t="n">
        <f aca="false">SUM(K16:K27)</f>
        <v>10</v>
      </c>
      <c r="L28" s="43" t="n">
        <f aca="false">SUM(L16:L27)*1.2</f>
        <v>1648800</v>
      </c>
    </row>
    <row r="29" customFormat="false" ht="12.75" hidden="false" customHeight="false" outlineLevel="0" collapsed="false">
      <c r="B29" s="67" t="s">
        <v>139</v>
      </c>
      <c r="C29" s="101"/>
      <c r="E29" s="101" t="n">
        <f aca="false">SUM(E25:E28)</f>
        <v>111</v>
      </c>
      <c r="G29" s="101" t="n">
        <f aca="false">SUM(G25:G28)</f>
        <v>10</v>
      </c>
      <c r="O29" s="71" t="n">
        <v>1</v>
      </c>
    </row>
    <row r="30" customFormat="false" ht="12.75" hidden="false" customHeight="false" outlineLevel="0" collapsed="false">
      <c r="B30" s="67"/>
      <c r="I30" s="0" t="s">
        <v>228</v>
      </c>
      <c r="L30" s="72" t="n">
        <v>0.2</v>
      </c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'[14]Team Report'!BA29</f>
        <v>-24140467.68</v>
      </c>
      <c r="E31" s="58" t="n">
        <f aca="false">(C31/9)*12</f>
        <v>-32187290.24</v>
      </c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'[14]Team Report'!BA30</f>
        <v>0</v>
      </c>
      <c r="E32" s="58" t="n">
        <f aca="false">(C32/9)*12</f>
        <v>0</v>
      </c>
      <c r="L32" s="43" t="n">
        <f aca="false">L28*1.2</f>
        <v>1978560</v>
      </c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'[14]Team Report'!BA31</f>
        <v>0</v>
      </c>
      <c r="E33" s="58" t="n">
        <f aca="false">(C33/9)*12</f>
        <v>0</v>
      </c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'[14]Team Report'!BA39</f>
        <v>0</v>
      </c>
      <c r="E34" s="58" t="n">
        <f aca="false">(C34/9)*12</f>
        <v>0</v>
      </c>
      <c r="I34" s="16" t="s">
        <v>140</v>
      </c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'[14]Team Report'!BA40</f>
        <v>164920.93</v>
      </c>
      <c r="E35" s="58" t="n">
        <f aca="false">(C35/9)*12</f>
        <v>219894.573333333</v>
      </c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'[14]Team Report'!BA41</f>
        <v>945381.27</v>
      </c>
      <c r="E36" s="58" t="n">
        <f aca="false">(C36/9)*12</f>
        <v>1260508.36</v>
      </c>
      <c r="I36" s="73" t="s">
        <v>244</v>
      </c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'[14]Team Report'!BA43</f>
        <v>-5121278.52</v>
      </c>
      <c r="E37" s="58" t="n">
        <f aca="false">(C37/9)*12</f>
        <v>-6828371.36</v>
      </c>
      <c r="L37" s="0"/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'[14]Team Report'!BA45</f>
        <v>0</v>
      </c>
      <c r="E38" s="58" t="n">
        <f aca="false">(C38/9)*12</f>
        <v>0</v>
      </c>
      <c r="L38" s="0"/>
    </row>
    <row r="39" customFormat="false" ht="12.75" hidden="true" customHeight="false" outlineLevel="0" collapsed="false">
      <c r="A39" s="56" t="s">
        <v>106</v>
      </c>
      <c r="B39" s="57" t="s">
        <v>107</v>
      </c>
      <c r="C39" s="58" t="n">
        <v>24143776.43</v>
      </c>
      <c r="E39" s="58" t="n">
        <v>32191701.9066667</v>
      </c>
      <c r="J39" s="74"/>
      <c r="K39" s="74"/>
      <c r="L39" s="0"/>
      <c r="M39" s="74"/>
    </row>
    <row r="40" customFormat="false" ht="12.75" hidden="true" customHeight="false" outlineLevel="0" collapsed="false">
      <c r="H40" s="75"/>
      <c r="I40" s="103"/>
      <c r="J40" s="74"/>
      <c r="K40" s="74"/>
      <c r="L40" s="74"/>
      <c r="M40" s="43"/>
    </row>
    <row r="41" customFormat="false" ht="12.75" hidden="true" customHeight="false" outlineLevel="0" collapsed="false">
      <c r="J41" s="0"/>
      <c r="L41" s="0"/>
    </row>
    <row r="42" customFormat="false" ht="12.75" hidden="true" customHeight="false" outlineLevel="0" collapsed="false">
      <c r="J42" s="0"/>
      <c r="L42" s="0"/>
    </row>
    <row r="43" customFormat="false" ht="12.75" hidden="true" customHeight="false" outlineLevel="0" collapsed="false"/>
    <row r="44" customFormat="false" ht="12.75" hidden="true" customHeight="false" outlineLevel="0" collapsed="false">
      <c r="C44" s="96" t="n">
        <f aca="false">C23+C31+C32+C33+C34+C35+C36+C37+C38</f>
        <v>-13992730.45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28"/>
    <col collapsed="false" customWidth="true" hidden="true" outlineLevel="0" max="8" min="8" style="0" width="9.85"/>
    <col collapsed="false" customWidth="true" hidden="true" outlineLevel="0" max="9" min="9" style="0" width="12.99"/>
    <col collapsed="false" customWidth="true" hidden="true" outlineLevel="0" max="10" min="10" style="43" width="10.41"/>
    <col collapsed="false" customWidth="true" hidden="true" outlineLevel="0" max="11" min="11" style="43" width="10.85"/>
    <col collapsed="false" customWidth="true" hidden="true" outlineLevel="0" max="12" min="12" style="43" width="11.42"/>
    <col collapsed="false" customWidth="true" hidden="true" outlineLevel="0" max="14" min="13" style="0" width="9.14"/>
    <col collapsed="false" customWidth="true" hidden="true" outlineLevel="0" max="15" min="15" style="0" width="12.14"/>
    <col collapsed="false" customWidth="false" hidden="true" outlineLevel="0" max="42" min="16" style="0" width="9.06"/>
  </cols>
  <sheetData>
    <row r="1" customFormat="false" ht="18" hidden="false" customHeight="false" outlineLevel="0" collapsed="false">
      <c r="B1" s="44" t="str">
        <f aca="false">'[11]Team Report'!B1</f>
        <v>Enron North America</v>
      </c>
      <c r="C1" s="44"/>
      <c r="D1" s="44"/>
      <c r="E1" s="44"/>
      <c r="F1" s="44"/>
      <c r="G1" s="44"/>
      <c r="H1" s="46"/>
      <c r="I1" s="46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customFormat="false" ht="18" hidden="false" customHeight="false" outlineLevel="0" collapsed="false">
      <c r="B2" s="44" t="s">
        <v>245</v>
      </c>
      <c r="C2" s="44"/>
      <c r="D2" s="44"/>
      <c r="E2" s="44"/>
      <c r="F2" s="44"/>
      <c r="G2" s="44"/>
      <c r="H2" s="46"/>
      <c r="I2" s="46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</row>
    <row r="3" customFormat="false" ht="18" hidden="false" customHeight="false" outlineLevel="0" collapsed="false">
      <c r="B3" s="47" t="s">
        <v>5</v>
      </c>
      <c r="C3" s="47"/>
      <c r="D3" s="47"/>
      <c r="E3" s="47"/>
      <c r="F3" s="47"/>
      <c r="G3" s="47"/>
      <c r="H3" s="48"/>
      <c r="I3" s="48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</row>
    <row r="4" customFormat="false" ht="13.5" hidden="false" customHeight="false" outlineLevel="0" collapsed="false">
      <c r="I4" s="97" t="s">
        <v>41</v>
      </c>
      <c r="J4" s="97"/>
      <c r="K4" s="97"/>
      <c r="L4" s="97"/>
    </row>
    <row r="5" customFormat="false" ht="12.75" hidden="false" customHeight="false" outlineLevel="0" collapsed="false">
      <c r="I5" s="79"/>
      <c r="J5" s="50"/>
      <c r="K5" s="50"/>
      <c r="L5" s="51"/>
      <c r="M5" s="21"/>
    </row>
    <row r="6" customFormat="false" ht="12.75" hidden="false" customHeight="false" outlineLevel="0" collapsed="false">
      <c r="C6" s="54" t="n">
        <v>37135</v>
      </c>
      <c r="E6" s="94" t="n">
        <v>2001</v>
      </c>
      <c r="G6" s="94" t="n">
        <v>2002</v>
      </c>
      <c r="I6" s="82"/>
      <c r="J6" s="74" t="s">
        <v>85</v>
      </c>
      <c r="K6" s="74" t="s">
        <v>86</v>
      </c>
      <c r="L6" s="98" t="s">
        <v>196</v>
      </c>
      <c r="M6" s="21"/>
      <c r="O6" s="94" t="n">
        <v>2002</v>
      </c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94</v>
      </c>
      <c r="I7" s="82"/>
      <c r="L7" s="53"/>
      <c r="M7" s="21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99" t="n">
        <v>0</v>
      </c>
      <c r="E8" s="58" t="n">
        <v>2625993</v>
      </c>
      <c r="G8" s="58" t="n">
        <f aca="false">L29-G10</f>
        <v>1702800</v>
      </c>
      <c r="I8" s="82"/>
      <c r="L8" s="53"/>
      <c r="M8" s="21"/>
      <c r="O8" s="58" t="n">
        <f aca="false">+G8/$G$30*$O$30</f>
        <v>227040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(C9/9)*12</f>
        <v>0</v>
      </c>
      <c r="G9" s="58" t="n">
        <v>0</v>
      </c>
      <c r="I9" s="82" t="s">
        <v>96</v>
      </c>
      <c r="J9" s="43" t="n">
        <v>0</v>
      </c>
      <c r="K9" s="43" t="n">
        <f aca="false">K29</f>
        <v>15</v>
      </c>
      <c r="L9" s="53" t="n">
        <f aca="false">+L33</f>
        <v>2112480</v>
      </c>
      <c r="M9" s="21"/>
      <c r="O9" s="58" t="n">
        <f aca="false">+G9/$G$30*$O$30</f>
        <v>0</v>
      </c>
    </row>
    <row r="10" customFormat="false" ht="12.75" hidden="false" customHeight="false" outlineLevel="0" collapsed="false">
      <c r="A10" s="56"/>
      <c r="B10" s="57" t="s">
        <v>246</v>
      </c>
      <c r="C10" s="58" t="n">
        <v>0</v>
      </c>
      <c r="E10" s="58" t="n">
        <f aca="false">(C10/9)*12</f>
        <v>0</v>
      </c>
      <c r="G10" s="58" t="n">
        <f aca="false">L21</f>
        <v>57600</v>
      </c>
      <c r="I10" s="82"/>
      <c r="L10" s="53"/>
      <c r="M10" s="21"/>
      <c r="O10" s="58" t="n">
        <f aca="false">+G10/$G$30*$O$30</f>
        <v>7680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v>0</v>
      </c>
      <c r="E11" s="58" t="n">
        <f aca="false">247074+290236+2376</f>
        <v>539686</v>
      </c>
      <c r="G11" s="58" t="n">
        <f aca="false">L33-L29</f>
        <v>352080</v>
      </c>
      <c r="I11" s="82"/>
      <c r="L11" s="53"/>
      <c r="M11" s="21"/>
      <c r="O11" s="58" t="n">
        <f aca="false">+G11/$G$30*$O$30</f>
        <v>46944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v>115211.17</v>
      </c>
      <c r="E12" s="62" t="n">
        <f aca="false">(C12/9)*12*1.2</f>
        <v>184337.872</v>
      </c>
      <c r="G12" s="58" t="n">
        <f aca="false">(E12/$E$30)*$G$30</f>
        <v>47673.5875862069</v>
      </c>
      <c r="I12" s="82" t="s">
        <v>67</v>
      </c>
      <c r="J12" s="43" t="n">
        <f aca="false">(E12+E13+E14+E15+E16+E17+E18+E20+E21+E22+E23)/E30</f>
        <v>9254.69820689655</v>
      </c>
      <c r="K12" s="43" t="n">
        <f aca="false">K29</f>
        <v>15</v>
      </c>
      <c r="L12" s="53" t="n">
        <f aca="false">J12*K12</f>
        <v>138820.473103448</v>
      </c>
      <c r="M12" s="21"/>
      <c r="O12" s="58" t="n">
        <f aca="false">+G12/$G$30*$O$30</f>
        <v>6356.47834482759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v>158715.86</v>
      </c>
      <c r="E13" s="62" t="n">
        <f aca="false">(C13/9)*12*1.2</f>
        <v>253945.376</v>
      </c>
      <c r="G13" s="58" t="n">
        <f aca="false">(E13/$E$30)*$G$30+9324</f>
        <v>74999.5282758621</v>
      </c>
      <c r="I13" s="82"/>
      <c r="L13" s="53"/>
      <c r="M13" s="21"/>
      <c r="O13" s="58" t="n">
        <f aca="false">+G13/$G$30*$O$30</f>
        <v>9999.93710344827</v>
      </c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v>0</v>
      </c>
      <c r="E14" s="62" t="n">
        <f aca="false">(C14/9)*12*1.2</f>
        <v>0</v>
      </c>
      <c r="G14" s="58" t="n">
        <f aca="false">(E14/$E$30)*$G$30+25000</f>
        <v>25000</v>
      </c>
      <c r="I14" s="87" t="s">
        <v>105</v>
      </c>
      <c r="J14" s="64"/>
      <c r="K14" s="64"/>
      <c r="L14" s="65" t="n">
        <f aca="false">SUM(L9:L12)</f>
        <v>2251300.47310345</v>
      </c>
      <c r="M14" s="21"/>
      <c r="O14" s="58" t="n">
        <f aca="false">+G14/$G$30*$O$30</f>
        <v>3333.33333333333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v>28163.05</v>
      </c>
      <c r="E15" s="62" t="n">
        <f aca="false">(C15/9)*12*1.2</f>
        <v>45060.88</v>
      </c>
      <c r="G15" s="58" t="n">
        <f aca="false">(E15/$E$30)*$G$30</f>
        <v>11653.675862069</v>
      </c>
      <c r="I15" s="21"/>
      <c r="M15" s="105"/>
      <c r="O15" s="58" t="n">
        <f aca="false">+G15/$G$30*$O$30</f>
        <v>1553.82344827586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'[11]Team Report'!BA34</f>
        <v>0</v>
      </c>
      <c r="E16" s="62" t="n">
        <f aca="false">(C16/9)*12*1.2</f>
        <v>0</v>
      </c>
      <c r="G16" s="58" t="n">
        <f aca="false">(E16/$E$30)*$G$30</f>
        <v>0</v>
      </c>
      <c r="I16" s="21"/>
      <c r="M16" s="21"/>
      <c r="O16" s="58" t="n">
        <f aca="false">+G16/$G$30*$O$30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'[11]Team Report'!BA35</f>
        <v>0</v>
      </c>
      <c r="E17" s="62" t="n">
        <f aca="false">(C17/9)*12*1.2</f>
        <v>0</v>
      </c>
      <c r="G17" s="58" t="n">
        <f aca="false">(E17/$E$30)*$G$30</f>
        <v>0</v>
      </c>
      <c r="I17" s="21" t="s">
        <v>177</v>
      </c>
      <c r="J17" s="43" t="n">
        <v>36000</v>
      </c>
      <c r="K17" s="0" t="n">
        <v>0</v>
      </c>
      <c r="L17" s="43" t="n">
        <f aca="false">J17*K17</f>
        <v>0</v>
      </c>
      <c r="O17" s="58" t="n">
        <f aca="false">+G17/$G$30*$O$30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v>1844.33</v>
      </c>
      <c r="E18" s="62" t="n">
        <f aca="false">(C18/9)*12*1.2</f>
        <v>2950.928</v>
      </c>
      <c r="G18" s="58" t="n">
        <f aca="false">(E18/$E$30)*$G$30+237</f>
        <v>1000.17103448276</v>
      </c>
      <c r="I18" s="0" t="s">
        <v>220</v>
      </c>
      <c r="J18" s="43" t="n">
        <v>49200</v>
      </c>
      <c r="K18" s="0" t="n">
        <v>1</v>
      </c>
      <c r="L18" s="43" t="n">
        <f aca="false">J18*K18</f>
        <v>49200</v>
      </c>
      <c r="O18" s="58" t="n">
        <f aca="false">+G18/$G$30*$O$30</f>
        <v>133.356137931034</v>
      </c>
    </row>
    <row r="19" customFormat="false" ht="12.75" hidden="true" customHeight="false" outlineLevel="0" collapsed="false">
      <c r="A19" s="56"/>
      <c r="B19" s="57"/>
      <c r="C19" s="58"/>
      <c r="E19" s="62" t="n">
        <f aca="false">(C19/9)*12*1.2</f>
        <v>0</v>
      </c>
      <c r="G19" s="58" t="n">
        <f aca="false">(E19/$E$30)*$G$30</f>
        <v>0</v>
      </c>
      <c r="I19" s="0" t="s">
        <v>247</v>
      </c>
      <c r="J19" s="43" t="n">
        <v>63600</v>
      </c>
      <c r="K19" s="0" t="n">
        <v>0</v>
      </c>
      <c r="L19" s="43" t="n">
        <f aca="false">J19*K19</f>
        <v>0</v>
      </c>
      <c r="O19" s="58" t="n">
        <f aca="false">+G19/$G$30*$O$30</f>
        <v>0</v>
      </c>
    </row>
    <row r="20" customFormat="false" ht="12.75" hidden="false" customHeight="false" outlineLevel="0" collapsed="false">
      <c r="A20" s="56" t="s">
        <v>119</v>
      </c>
      <c r="B20" s="57" t="s">
        <v>120</v>
      </c>
      <c r="C20" s="58" t="n">
        <v>29491.73</v>
      </c>
      <c r="E20" s="62" t="n">
        <f aca="false">(C20/9)*12*1.2</f>
        <v>47186.768</v>
      </c>
      <c r="G20" s="58" t="n">
        <f aca="false">(E20/$E$30)*$G$30+37797</f>
        <v>50000.4744827586</v>
      </c>
      <c r="I20" s="0" t="s">
        <v>118</v>
      </c>
      <c r="J20" s="43" t="n">
        <v>49200</v>
      </c>
      <c r="K20" s="0" t="n">
        <v>0</v>
      </c>
      <c r="L20" s="43" t="n">
        <f aca="false">J20*K20</f>
        <v>0</v>
      </c>
      <c r="O20" s="58" t="n">
        <f aca="false">+G20/$G$30*$O$30</f>
        <v>6666.72993103448</v>
      </c>
    </row>
    <row r="21" customFormat="false" ht="12.75" hidden="false" customHeight="false" outlineLevel="0" collapsed="false">
      <c r="A21" s="56" t="s">
        <v>122</v>
      </c>
      <c r="B21" s="57" t="s">
        <v>123</v>
      </c>
      <c r="C21" s="58" t="n">
        <f aca="false">'[11]Team Report'!BA38</f>
        <v>0</v>
      </c>
      <c r="E21" s="62" t="n">
        <f aca="false">(C21/9)*12*1.2</f>
        <v>0</v>
      </c>
      <c r="G21" s="58" t="n">
        <f aca="false">(E21/$E$30)*$G$30</f>
        <v>0</v>
      </c>
      <c r="I21" s="0" t="s">
        <v>221</v>
      </c>
      <c r="J21" s="43" t="n">
        <v>57600</v>
      </c>
      <c r="K21" s="0" t="n">
        <v>1</v>
      </c>
      <c r="L21" s="43" t="n">
        <f aca="false">J21*K21</f>
        <v>57600</v>
      </c>
      <c r="O21" s="58" t="n">
        <f aca="false">+G21/$G$30*$O$30</f>
        <v>0</v>
      </c>
    </row>
    <row r="22" customFormat="false" ht="12.75" hidden="false" customHeight="false" outlineLevel="0" collapsed="false">
      <c r="A22" s="56" t="s">
        <v>125</v>
      </c>
      <c r="B22" s="57" t="s">
        <v>126</v>
      </c>
      <c r="C22" s="58" t="n">
        <v>2056.67</v>
      </c>
      <c r="E22" s="62" t="n">
        <f aca="false">(C22/9)*12*1.2</f>
        <v>3290.672</v>
      </c>
      <c r="G22" s="58" t="n">
        <f aca="false">(E22/$E$30)*$G$30+299149</f>
        <v>300000.035862069</v>
      </c>
      <c r="I22" s="0" t="s">
        <v>121</v>
      </c>
      <c r="J22" s="43" t="n">
        <v>66000</v>
      </c>
      <c r="K22" s="0" t="n">
        <v>1</v>
      </c>
      <c r="L22" s="43" t="n">
        <f aca="false">J22*K22</f>
        <v>66000</v>
      </c>
      <c r="O22" s="58" t="n">
        <f aca="false">+G22/$G$30*$O$30</f>
        <v>40000.0047816092</v>
      </c>
    </row>
    <row r="23" customFormat="false" ht="12.75" hidden="false" customHeight="false" outlineLevel="0" collapsed="false">
      <c r="A23" s="56" t="s">
        <v>128</v>
      </c>
      <c r="B23" s="57" t="s">
        <v>129</v>
      </c>
      <c r="C23" s="58" t="n">
        <v>0</v>
      </c>
      <c r="E23" s="58" t="n">
        <f aca="false">(C23/9)*12*1.2</f>
        <v>0</v>
      </c>
      <c r="G23" s="58" t="n">
        <f aca="false">(E23/$E$30)*$G$30</f>
        <v>0</v>
      </c>
      <c r="I23" s="0" t="s">
        <v>222</v>
      </c>
      <c r="J23" s="43" t="n">
        <v>84000</v>
      </c>
      <c r="K23" s="0" t="n">
        <v>2</v>
      </c>
      <c r="L23" s="43" t="n">
        <f aca="false">J23*K23</f>
        <v>168000</v>
      </c>
      <c r="O23" s="58" t="n">
        <f aca="false">+G23/$G$30*$O$30</f>
        <v>0</v>
      </c>
    </row>
    <row r="24" customFormat="false" ht="12.75" hidden="false" customHeight="false" outlineLevel="0" collapsed="false">
      <c r="A24" s="66" t="s">
        <v>131</v>
      </c>
      <c r="B24" s="67" t="s">
        <v>132</v>
      </c>
      <c r="C24" s="68" t="n">
        <f aca="false">SUM(C8:C23)</f>
        <v>335482.81</v>
      </c>
      <c r="E24" s="68" t="n">
        <f aca="false">SUM(E8:E23)</f>
        <v>3702451.496</v>
      </c>
      <c r="G24" s="68" t="n">
        <f aca="false">SUM(G8:G23)</f>
        <v>2622807.47310345</v>
      </c>
      <c r="I24" s="0" t="s">
        <v>223</v>
      </c>
      <c r="J24" s="43" t="n">
        <v>105600</v>
      </c>
      <c r="K24" s="0" t="n">
        <v>5</v>
      </c>
      <c r="L24" s="43" t="n">
        <f aca="false">J24*K24</f>
        <v>528000</v>
      </c>
      <c r="O24" s="68" t="n">
        <f aca="false">SUM(O8:O23)</f>
        <v>349707.66308046</v>
      </c>
    </row>
    <row r="25" customFormat="false" ht="12.75" hidden="false" customHeight="false" outlineLevel="0" collapsed="false">
      <c r="I25" s="0" t="s">
        <v>224</v>
      </c>
      <c r="J25" s="43" t="n">
        <v>156000</v>
      </c>
      <c r="K25" s="0" t="n">
        <v>2</v>
      </c>
      <c r="L25" s="43" t="n">
        <f aca="false">J25*K25</f>
        <v>312000</v>
      </c>
    </row>
    <row r="26" customFormat="false" ht="12.75" hidden="false" customHeight="false" outlineLevel="0" collapsed="false">
      <c r="B26" s="67" t="s">
        <v>9</v>
      </c>
      <c r="C26" s="101"/>
      <c r="E26" s="101" t="n">
        <v>58</v>
      </c>
      <c r="G26" s="101" t="n">
        <f aca="false">SUM(K17:K20,K22:K28)</f>
        <v>14</v>
      </c>
      <c r="I26" s="0" t="s">
        <v>225</v>
      </c>
      <c r="J26" s="43" t="n">
        <v>184800</v>
      </c>
      <c r="K26" s="0" t="n">
        <v>2</v>
      </c>
      <c r="L26" s="43" t="n">
        <f aca="false">J26*K26</f>
        <v>369600</v>
      </c>
      <c r="O26" s="101" t="n">
        <v>1</v>
      </c>
    </row>
    <row r="27" customFormat="false" ht="12.75" hidden="false" customHeight="false" outlineLevel="0" collapsed="false">
      <c r="I27" s="0" t="s">
        <v>226</v>
      </c>
      <c r="J27" s="43" t="n">
        <v>210000</v>
      </c>
      <c r="K27" s="0" t="n">
        <v>1</v>
      </c>
      <c r="L27" s="43" t="n">
        <f aca="false">J27*K27</f>
        <v>210000</v>
      </c>
    </row>
    <row r="28" customFormat="false" ht="12.75" hidden="false" customHeight="false" outlineLevel="0" collapsed="false">
      <c r="B28" s="67" t="s">
        <v>137</v>
      </c>
      <c r="C28" s="101"/>
      <c r="E28" s="101" t="n">
        <v>0</v>
      </c>
      <c r="G28" s="101" t="n">
        <f aca="false">SUM(K21)</f>
        <v>1</v>
      </c>
      <c r="I28" s="0" t="s">
        <v>248</v>
      </c>
      <c r="J28" s="43" t="n">
        <v>476400</v>
      </c>
      <c r="K28" s="0" t="n">
        <v>0</v>
      </c>
      <c r="L28" s="43" t="n">
        <f aca="false">J28*K28</f>
        <v>0</v>
      </c>
      <c r="O28" s="101" t="n">
        <v>1</v>
      </c>
    </row>
    <row r="29" customFormat="false" ht="12.75" hidden="false" customHeight="false" outlineLevel="0" collapsed="false">
      <c r="K29" s="43" t="n">
        <f aca="false">SUM(K17:K28)</f>
        <v>15</v>
      </c>
      <c r="L29" s="43" t="n">
        <f aca="false">SUM(L17:L28)</f>
        <v>1760400</v>
      </c>
    </row>
    <row r="30" customFormat="false" ht="12.75" hidden="false" customHeight="false" outlineLevel="0" collapsed="false">
      <c r="B30" s="67" t="s">
        <v>139</v>
      </c>
      <c r="C30" s="101"/>
      <c r="E30" s="101" t="n">
        <f aca="false">SUM(E26:E29)</f>
        <v>58</v>
      </c>
      <c r="G30" s="101" t="n">
        <f aca="false">SUM(G26:G29)</f>
        <v>15</v>
      </c>
      <c r="O30" s="101" t="n">
        <f aca="false">SUM(O26:O29)</f>
        <v>2</v>
      </c>
    </row>
    <row r="31" customFormat="false" ht="12.75" hidden="false" customHeight="false" outlineLevel="0" collapsed="false">
      <c r="B31" s="67"/>
      <c r="I31" s="0" t="s">
        <v>228</v>
      </c>
      <c r="K31" s="72"/>
      <c r="L31" s="72" t="n">
        <v>0.2</v>
      </c>
    </row>
    <row r="32" customFormat="false" ht="12.75" hidden="true" customHeight="false" outlineLevel="0" collapsed="false">
      <c r="A32" s="56" t="s">
        <v>186</v>
      </c>
      <c r="B32" s="57" t="s">
        <v>200</v>
      </c>
      <c r="C32" s="58" t="n">
        <f aca="false">'[11]Team Report'!BA29</f>
        <v>0</v>
      </c>
      <c r="E32" s="58" t="n">
        <f aca="false">(C32/9)*12</f>
        <v>0</v>
      </c>
    </row>
    <row r="33" customFormat="false" ht="12.75" hidden="true" customHeight="false" outlineLevel="0" collapsed="false">
      <c r="A33" s="56" t="s">
        <v>188</v>
      </c>
      <c r="B33" s="57" t="s">
        <v>201</v>
      </c>
      <c r="C33" s="58" t="n">
        <f aca="false">'[11]Team Report'!BA30</f>
        <v>0</v>
      </c>
      <c r="E33" s="58" t="n">
        <f aca="false">(C33/9)*12</f>
        <v>0</v>
      </c>
      <c r="L33" s="43" t="n">
        <f aca="false">L29*1.2</f>
        <v>2112480</v>
      </c>
    </row>
    <row r="34" customFormat="false" ht="12.75" hidden="true" customHeight="false" outlineLevel="0" collapsed="false">
      <c r="A34" s="56" t="s">
        <v>189</v>
      </c>
      <c r="B34" s="57" t="s">
        <v>202</v>
      </c>
      <c r="C34" s="58" t="n">
        <f aca="false">'[11]Team Report'!BA31</f>
        <v>0</v>
      </c>
      <c r="E34" s="58" t="n">
        <f aca="false">(C34/9)*12</f>
        <v>0</v>
      </c>
    </row>
    <row r="35" customFormat="false" ht="12.75" hidden="true" customHeight="false" outlineLevel="0" collapsed="false">
      <c r="A35" s="56" t="s">
        <v>190</v>
      </c>
      <c r="B35" s="57" t="s">
        <v>203</v>
      </c>
      <c r="C35" s="58" t="n">
        <f aca="false">'[11]Team Report'!BA39</f>
        <v>0</v>
      </c>
      <c r="E35" s="58" t="n">
        <f aca="false">(C35/9)*12</f>
        <v>0</v>
      </c>
    </row>
    <row r="36" customFormat="false" ht="12.75" hidden="true" customHeight="false" outlineLevel="0" collapsed="false">
      <c r="A36" s="56" t="s">
        <v>191</v>
      </c>
      <c r="B36" s="57" t="s">
        <v>204</v>
      </c>
      <c r="C36" s="58" t="n">
        <f aca="false">'[11]Team Report'!BA40</f>
        <v>24670.39</v>
      </c>
      <c r="E36" s="58" t="n">
        <f aca="false">(C36/9)*12</f>
        <v>32893.8533333333</v>
      </c>
    </row>
    <row r="37" customFormat="false" ht="12.75" hidden="true" customHeight="false" outlineLevel="0" collapsed="false">
      <c r="A37" s="56" t="s">
        <v>192</v>
      </c>
      <c r="B37" s="57" t="s">
        <v>205</v>
      </c>
      <c r="C37" s="58" t="n">
        <f aca="false">'[11]Team Report'!BA41</f>
        <v>481045.43</v>
      </c>
      <c r="E37" s="58" t="n">
        <f aca="false">(C37/9)*12</f>
        <v>641393.906666667</v>
      </c>
      <c r="H37" s="16" t="s">
        <v>140</v>
      </c>
      <c r="I37" s="43"/>
      <c r="L37" s="0"/>
    </row>
    <row r="38" customFormat="false" ht="12.75" hidden="true" customHeight="false" outlineLevel="0" collapsed="false">
      <c r="A38" s="56" t="s">
        <v>193</v>
      </c>
      <c r="B38" s="57" t="s">
        <v>206</v>
      </c>
      <c r="C38" s="58" t="n">
        <f aca="false">'[11]Team Report'!BA43</f>
        <v>-771915.88</v>
      </c>
      <c r="E38" s="58" t="n">
        <f aca="false">(C38/9)*12</f>
        <v>-1029221.17333333</v>
      </c>
      <c r="I38" s="43"/>
      <c r="L38" s="0"/>
    </row>
    <row r="39" customFormat="false" ht="12.75" hidden="true" customHeight="false" outlineLevel="0" collapsed="false">
      <c r="A39" s="56" t="s">
        <v>194</v>
      </c>
      <c r="B39" s="57" t="s">
        <v>207</v>
      </c>
      <c r="C39" s="58" t="n">
        <f aca="false">'[11]Team Report'!BA45</f>
        <v>0</v>
      </c>
      <c r="E39" s="58" t="n">
        <f aca="false">(C39/9)*12</f>
        <v>0</v>
      </c>
      <c r="H39" s="73" t="s">
        <v>141</v>
      </c>
      <c r="I39" s="74" t="s">
        <v>142</v>
      </c>
      <c r="J39" s="74" t="s">
        <v>143</v>
      </c>
      <c r="K39" s="74" t="s">
        <v>86</v>
      </c>
      <c r="L39" s="74" t="s">
        <v>144</v>
      </c>
    </row>
    <row r="40" customFormat="false" ht="12.75" hidden="true" customHeight="false" outlineLevel="0" collapsed="false">
      <c r="A40" s="56"/>
      <c r="B40" s="57"/>
      <c r="C40" s="58"/>
      <c r="E40" s="58"/>
      <c r="H40" s="75" t="n">
        <f aca="false">SUM(E12:E22)</f>
        <v>536772.496</v>
      </c>
      <c r="I40" s="103" t="n">
        <f aca="false">+E30</f>
        <v>58</v>
      </c>
      <c r="J40" s="74" t="n">
        <f aca="false">+H40/I40</f>
        <v>9254.69820689655</v>
      </c>
      <c r="K40" s="74" t="n">
        <f aca="false">+K12</f>
        <v>15</v>
      </c>
      <c r="L40" s="74" t="n">
        <f aca="false">+J40*K40</f>
        <v>138820.473103448</v>
      </c>
      <c r="M40" s="43"/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5" customFormat="false" ht="12.75" hidden="false" customHeight="false" outlineLevel="0" collapsed="false">
      <c r="C45" s="96" t="n">
        <f aca="false">C24+C32+C33+C34+C35+C36+C37+C38+C39</f>
        <v>69282.75</v>
      </c>
    </row>
  </sheetData>
  <mergeCells count="4">
    <mergeCell ref="B1:G1"/>
    <mergeCell ref="B2:G2"/>
    <mergeCell ref="B3:G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K27" activeCellId="0" sqref="K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0" width="20.7"/>
    <col collapsed="false" customWidth="true" hidden="false" outlineLevel="0" max="10" min="10" style="43" width="10.41"/>
    <col collapsed="false" customWidth="true" hidden="false" outlineLevel="0" max="11" min="11" style="43" width="10.85"/>
    <col collapsed="false" customWidth="true" hidden="false" outlineLevel="0" max="12" min="12" style="43" width="11.42"/>
  </cols>
  <sheetData>
    <row r="1" customFormat="false" ht="18" hidden="false" customHeight="false" outlineLevel="0" collapsed="false">
      <c r="B1" s="44" t="str">
        <f aca="false">'[15]Team Report'!B1</f>
        <v>Enron North America</v>
      </c>
      <c r="C1" s="44"/>
      <c r="D1" s="44"/>
      <c r="E1" s="44"/>
      <c r="F1" s="44"/>
      <c r="G1" s="46"/>
      <c r="H1" s="46"/>
      <c r="I1" s="46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</row>
    <row r="2" customFormat="false" ht="18" hidden="false" customHeight="false" outlineLevel="0" collapsed="false">
      <c r="B2" s="44" t="str">
        <f aca="false">'[15]Pull Sheet'!E9</f>
        <v>Research</v>
      </c>
      <c r="C2" s="44"/>
      <c r="D2" s="44"/>
      <c r="E2" s="44"/>
      <c r="F2" s="44"/>
      <c r="G2" s="46"/>
      <c r="H2" s="46"/>
      <c r="I2" s="46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</row>
    <row r="3" customFormat="false" ht="18" hidden="false" customHeight="false" outlineLevel="0" collapsed="false">
      <c r="B3" s="47" t="s">
        <v>5</v>
      </c>
      <c r="C3" s="47"/>
      <c r="D3" s="47"/>
      <c r="E3" s="47"/>
      <c r="F3" s="47"/>
      <c r="G3" s="48"/>
      <c r="H3" s="48"/>
      <c r="I3" s="48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</row>
    <row r="4" customFormat="false" ht="13.5" hidden="false" customHeight="false" outlineLevel="0" collapsed="false"/>
    <row r="5" customFormat="false" ht="12.75" hidden="false" customHeight="false" outlineLevel="0" collapsed="false">
      <c r="I5" s="79"/>
      <c r="J5" s="50"/>
      <c r="K5" s="50"/>
      <c r="L5" s="51"/>
    </row>
    <row r="6" customFormat="false" ht="12.75" hidden="false" customHeight="false" outlineLevel="0" collapsed="false">
      <c r="C6" s="54" t="n">
        <v>37135</v>
      </c>
      <c r="E6" s="54" t="s">
        <v>88</v>
      </c>
      <c r="F6" s="54" t="s">
        <v>90</v>
      </c>
      <c r="I6" s="82"/>
      <c r="J6" s="74" t="s">
        <v>85</v>
      </c>
      <c r="K6" s="74" t="s">
        <v>86</v>
      </c>
      <c r="L6" s="98" t="s">
        <v>196</v>
      </c>
      <c r="O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 t="s">
        <v>94</v>
      </c>
      <c r="G7" s="16"/>
      <c r="I7" s="82"/>
      <c r="L7" s="5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'[15]Team Report'!BA25</f>
        <v>3640949.9</v>
      </c>
      <c r="E8" s="58" t="n">
        <f aca="false">((C8/9)*12)*1.2</f>
        <v>5825519.84</v>
      </c>
      <c r="F8" s="58" t="n">
        <f aca="false">L29</f>
        <v>336000</v>
      </c>
      <c r="I8" s="82"/>
      <c r="L8" s="53"/>
      <c r="O8" s="58" t="n">
        <f aca="false">+F8/$F$29*$O$29</f>
        <v>168000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(C9/9)*12</f>
        <v>0</v>
      </c>
      <c r="F9" s="58" t="n">
        <f aca="false">(D9/9)*12</f>
        <v>0</v>
      </c>
      <c r="I9" s="82" t="s">
        <v>96</v>
      </c>
      <c r="J9" s="43" t="n">
        <v>0</v>
      </c>
      <c r="K9" s="43" t="n">
        <f aca="false">K29</f>
        <v>2</v>
      </c>
      <c r="L9" s="53" t="n">
        <f aca="false">L33</f>
        <v>403200</v>
      </c>
      <c r="O9" s="58" t="n">
        <f aca="false">+F9/$F$29*$O$29</f>
        <v>0</v>
      </c>
    </row>
    <row r="10" customFormat="false" ht="12.75" hidden="false" customHeight="false" outlineLevel="0" collapsed="false">
      <c r="B10" s="57" t="s">
        <v>176</v>
      </c>
      <c r="C10" s="58" t="n">
        <v>0</v>
      </c>
      <c r="E10" s="58" t="n">
        <f aca="false">(C10/9)*12</f>
        <v>0</v>
      </c>
      <c r="F10" s="58" t="n">
        <f aca="false">(D10/9)*12</f>
        <v>0</v>
      </c>
      <c r="I10" s="82"/>
      <c r="L10" s="53"/>
      <c r="O10" s="58" t="n">
        <f aca="false">+F10/$F$29*$O$29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'[15]Team Report'!BA26</f>
        <v>762369.14</v>
      </c>
      <c r="E11" s="58" t="n">
        <f aca="false">((C11/9)*12)*1.2</f>
        <v>1219790.624</v>
      </c>
      <c r="F11" s="58" t="n">
        <f aca="false">L33-L29</f>
        <v>67200</v>
      </c>
      <c r="I11" s="82"/>
      <c r="L11" s="53"/>
      <c r="O11" s="58" t="n">
        <f aca="false">+F11/$F$29*$O$29</f>
        <v>33600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'[15]Team Report'!BA27</f>
        <v>173944.73</v>
      </c>
      <c r="E12" s="62" t="n">
        <f aca="false">((C12/9)*12)*1.2</f>
        <v>278311.568</v>
      </c>
      <c r="F12" s="58" t="n">
        <f aca="false">(E12/$E$29)*$F$29</f>
        <v>11359.6558367347</v>
      </c>
      <c r="I12" s="82" t="s">
        <v>67</v>
      </c>
      <c r="J12" s="43" t="n">
        <f aca="false">(E12+E13+E14+E15+E16+E17+E18+E19+E20+E21+E22)/E29</f>
        <v>33269.8053877551</v>
      </c>
      <c r="K12" s="43" t="n">
        <f aca="false">K29</f>
        <v>2</v>
      </c>
      <c r="L12" s="53" t="n">
        <f aca="false">J12*K12</f>
        <v>66539.6107755102</v>
      </c>
      <c r="O12" s="58" t="n">
        <f aca="false">+F12/$F$29*$O$29</f>
        <v>5679.82791836735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'[15]Team Report'!BA28</f>
        <v>293972.73</v>
      </c>
      <c r="E13" s="62" t="n">
        <f aca="false">((C13/9)*12)*1.2</f>
        <v>470356.368</v>
      </c>
      <c r="F13" s="58" t="n">
        <f aca="false">(E13/$E$29)*$F$29</f>
        <v>19198.2191020408</v>
      </c>
      <c r="I13" s="82"/>
      <c r="L13" s="53"/>
      <c r="O13" s="58" t="n">
        <f aca="false">+F13/$F$29*$O$29</f>
        <v>9599.10955102041</v>
      </c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f aca="false">'[15]Team Report'!BA32</f>
        <v>67481.55</v>
      </c>
      <c r="E14" s="62" t="n">
        <f aca="false">((C14/9)*12)*1.2</f>
        <v>107970.48</v>
      </c>
      <c r="F14" s="58" t="n">
        <f aca="false">(E14/$E$29)*$F$29</f>
        <v>4406.95836734694</v>
      </c>
      <c r="I14" s="87" t="s">
        <v>105</v>
      </c>
      <c r="J14" s="64"/>
      <c r="K14" s="64"/>
      <c r="L14" s="65" t="n">
        <f aca="false">SUM(L9:L12)</f>
        <v>469739.61077551</v>
      </c>
      <c r="N14" s="0" t="n">
        <v>1699109</v>
      </c>
      <c r="O14" s="58" t="n">
        <f aca="false">+F14/$F$29*$O$29</f>
        <v>2203.47918367347</v>
      </c>
      <c r="P14" s="60" t="n">
        <f aca="false">N14-L14</f>
        <v>1229369.38922449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'[15]Team Report'!BA33</f>
        <v>48511.92</v>
      </c>
      <c r="E15" s="62" t="n">
        <f aca="false">((C15/9)*12)*1.2</f>
        <v>77619.072</v>
      </c>
      <c r="F15" s="58" t="n">
        <f aca="false">(E15/$E$29)*$F$29</f>
        <v>3168.1253877551</v>
      </c>
      <c r="I15" s="21"/>
      <c r="O15" s="58" t="n">
        <f aca="false">+F15/$F$29*$O$29</f>
        <v>1584.06269387755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'[15]Team Report'!BA34</f>
        <v>0</v>
      </c>
      <c r="E16" s="62" t="n">
        <f aca="false">(C16/9)*12</f>
        <v>0</v>
      </c>
      <c r="F16" s="58" t="n">
        <f aca="false">(E16/$E$29)*$F$29</f>
        <v>0</v>
      </c>
      <c r="I16" s="21"/>
      <c r="O16" s="58" t="n">
        <f aca="false">+F16/$F$29*$O$29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'[15]Team Report'!BA35</f>
        <v>2500</v>
      </c>
      <c r="E17" s="62" t="n">
        <f aca="false">((C17/9)*12)*1.2</f>
        <v>4000</v>
      </c>
      <c r="F17" s="58" t="n">
        <f aca="false">(E17/$E$29)*$F$29</f>
        <v>163.265306122449</v>
      </c>
      <c r="I17" s="21" t="s">
        <v>177</v>
      </c>
      <c r="J17" s="43" t="n">
        <f aca="false">30000*1.2</f>
        <v>36000</v>
      </c>
      <c r="K17" s="43" t="n">
        <f aca="false">H17*J17</f>
        <v>0</v>
      </c>
      <c r="L17" s="43" t="n">
        <f aca="false">J17*K17</f>
        <v>0</v>
      </c>
      <c r="O17" s="58" t="n">
        <f aca="false">+F17/$F$29*$O$29</f>
        <v>81.6326530612245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'[15]Team Report'!BA36</f>
        <v>0</v>
      </c>
      <c r="E18" s="62" t="n">
        <f aca="false">(C18/9)*12</f>
        <v>0</v>
      </c>
      <c r="F18" s="58" t="n">
        <f aca="false">(E18/$E$29)*$F$29</f>
        <v>0</v>
      </c>
      <c r="I18" s="0" t="s">
        <v>220</v>
      </c>
      <c r="J18" s="43" t="n">
        <v>48000</v>
      </c>
      <c r="K18" s="43" t="n">
        <v>0</v>
      </c>
      <c r="L18" s="43" t="n">
        <f aca="false">J18*K18</f>
        <v>0</v>
      </c>
      <c r="O18" s="58" t="n">
        <f aca="false">+F18/$F$29*$O$29</f>
        <v>0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'[15]Team Report'!BA37</f>
        <v>129576.92</v>
      </c>
      <c r="E19" s="62" t="n">
        <f aca="false">((C19/9)*12)*1.2</f>
        <v>207323.072</v>
      </c>
      <c r="F19" s="58" t="n">
        <f aca="false">(E19/$E$29)*$F$29</f>
        <v>8462.16620408163</v>
      </c>
      <c r="I19" s="0" t="s">
        <v>118</v>
      </c>
      <c r="J19" s="43" t="n">
        <v>49200</v>
      </c>
      <c r="K19" s="43" t="n">
        <v>0</v>
      </c>
      <c r="L19" s="43" t="n">
        <f aca="false">J19*K19</f>
        <v>0</v>
      </c>
      <c r="O19" s="58" t="n">
        <f aca="false">+F19/$F$29*$O$29</f>
        <v>4231.08310204082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'[15]Team Report'!BA38</f>
        <v>10.03</v>
      </c>
      <c r="E20" s="62" t="n">
        <f aca="false">((C20/9)*12)*1.2</f>
        <v>16.048</v>
      </c>
      <c r="F20" s="58" t="n">
        <f aca="false">(E20/$E$29)*$F$29</f>
        <v>0.655020408163265</v>
      </c>
      <c r="I20" s="0" t="s">
        <v>221</v>
      </c>
      <c r="J20" s="43" t="n">
        <v>57600</v>
      </c>
      <c r="K20" s="43" t="n">
        <v>0</v>
      </c>
      <c r="L20" s="43" t="n">
        <f aca="false">J20*K20</f>
        <v>0</v>
      </c>
      <c r="O20" s="58" t="n">
        <f aca="false">+F20/$F$29*$O$29</f>
        <v>0.327510204081633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'[15]Team Report'!BA42</f>
        <v>302115.48</v>
      </c>
      <c r="E21" s="62" t="n">
        <f aca="false">((C21/9)*12)*1.2</f>
        <v>483384.768</v>
      </c>
      <c r="F21" s="58" t="n">
        <f aca="false">(E21/$E$29)*$F$29</f>
        <v>19729.9905306122</v>
      </c>
      <c r="I21" s="0" t="s">
        <v>130</v>
      </c>
      <c r="J21" s="43" t="n">
        <v>72000</v>
      </c>
      <c r="K21" s="43" t="n">
        <v>0</v>
      </c>
      <c r="L21" s="43" t="n">
        <f aca="false">J21*K21</f>
        <v>0</v>
      </c>
      <c r="O21" s="58" t="n">
        <f aca="false">+F21/$F$29*$O$29</f>
        <v>9864.99526530612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'[15]Team Report'!BA44</f>
        <v>774.43</v>
      </c>
      <c r="E22" s="62" t="n">
        <f aca="false">((C22/9)*12)*1.2</f>
        <v>1239.088</v>
      </c>
      <c r="F22" s="58" t="n">
        <f aca="false">(E22/$E$29)*$F$29</f>
        <v>50.5750204081633</v>
      </c>
      <c r="I22" s="0" t="s">
        <v>121</v>
      </c>
      <c r="J22" s="43" t="n">
        <v>62400</v>
      </c>
      <c r="K22" s="43" t="n">
        <v>0</v>
      </c>
      <c r="L22" s="43" t="n">
        <f aca="false">J22*K22</f>
        <v>0</v>
      </c>
      <c r="O22" s="58" t="n">
        <f aca="false">+F22/$F$29*$O$29</f>
        <v>25.2875102040816</v>
      </c>
    </row>
    <row r="23" customFormat="false" ht="13.5" hidden="false" customHeight="false" outlineLevel="0" collapsed="false">
      <c r="A23" s="66" t="s">
        <v>131</v>
      </c>
      <c r="B23" s="67" t="s">
        <v>132</v>
      </c>
      <c r="C23" s="68" t="n">
        <f aca="false">SUM(C8:C22)</f>
        <v>5422206.83</v>
      </c>
      <c r="E23" s="68" t="n">
        <f aca="false">SUM(E8:E22)</f>
        <v>8675530.928</v>
      </c>
      <c r="F23" s="68" t="n">
        <f aca="false">SUM(F8:F22)</f>
        <v>469739.61077551</v>
      </c>
      <c r="I23" s="0" t="s">
        <v>241</v>
      </c>
      <c r="J23" s="43" t="n">
        <v>74400</v>
      </c>
      <c r="K23" s="43" t="n">
        <v>0</v>
      </c>
      <c r="L23" s="43" t="n">
        <f aca="false">J23*K23</f>
        <v>0</v>
      </c>
      <c r="O23" s="90" t="n">
        <f aca="false">SUM(O8:O22)</f>
        <v>234869.805387755</v>
      </c>
    </row>
    <row r="24" customFormat="false" ht="12.75" hidden="false" customHeight="false" outlineLevel="0" collapsed="false">
      <c r="I24" s="0" t="s">
        <v>223</v>
      </c>
      <c r="J24" s="43" t="n">
        <v>90000</v>
      </c>
      <c r="K24" s="43" t="n">
        <v>0</v>
      </c>
      <c r="L24" s="43" t="n">
        <f aca="false">J24*K24</f>
        <v>0</v>
      </c>
    </row>
    <row r="25" customFormat="false" ht="12.75" hidden="false" customHeight="false" outlineLevel="0" collapsed="false">
      <c r="B25" s="67" t="s">
        <v>9</v>
      </c>
      <c r="C25" s="58"/>
      <c r="E25" s="71" t="n">
        <v>44</v>
      </c>
      <c r="F25" s="71" t="n">
        <f aca="false">+K29</f>
        <v>2</v>
      </c>
      <c r="I25" s="0" t="s">
        <v>224</v>
      </c>
      <c r="J25" s="43" t="n">
        <v>120000</v>
      </c>
      <c r="K25" s="43" t="n">
        <v>1</v>
      </c>
      <c r="L25" s="43" t="n">
        <f aca="false">J25*K25</f>
        <v>120000</v>
      </c>
      <c r="O25" s="71" t="n">
        <f aca="false">SUM(U16:U20,U23:U27)</f>
        <v>0</v>
      </c>
    </row>
    <row r="26" customFormat="false" ht="12.75" hidden="false" customHeight="false" outlineLevel="0" collapsed="false">
      <c r="C26" s="58"/>
      <c r="E26" s="58"/>
      <c r="F26" s="58"/>
      <c r="I26" s="0" t="s">
        <v>249</v>
      </c>
      <c r="J26" s="43" t="n">
        <v>178800</v>
      </c>
      <c r="K26" s="43" t="n">
        <v>0</v>
      </c>
      <c r="L26" s="43" t="n">
        <f aca="false">J26*K26</f>
        <v>0</v>
      </c>
      <c r="O26" s="58"/>
    </row>
    <row r="27" customFormat="false" ht="12.75" hidden="false" customHeight="false" outlineLevel="0" collapsed="false">
      <c r="B27" s="67" t="s">
        <v>237</v>
      </c>
      <c r="C27" s="58"/>
      <c r="E27" s="71" t="n">
        <v>5</v>
      </c>
      <c r="F27" s="71" t="n">
        <v>0</v>
      </c>
      <c r="I27" s="0" t="s">
        <v>226</v>
      </c>
      <c r="J27" s="43" t="n">
        <v>216000</v>
      </c>
      <c r="K27" s="43" t="n">
        <v>1</v>
      </c>
      <c r="L27" s="43" t="n">
        <f aca="false">J27*K27</f>
        <v>216000</v>
      </c>
      <c r="O27" s="71" t="n">
        <f aca="false">SUM(U21:U22)</f>
        <v>0</v>
      </c>
    </row>
    <row r="28" customFormat="false" ht="12.75" hidden="false" customHeight="false" outlineLevel="0" collapsed="false">
      <c r="I28" s="0" t="s">
        <v>227</v>
      </c>
      <c r="J28" s="43" t="n">
        <v>312000</v>
      </c>
      <c r="K28" s="43" t="n">
        <f aca="false">H27*J28</f>
        <v>0</v>
      </c>
      <c r="L28" s="43" t="n">
        <f aca="false">J28*K28</f>
        <v>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49</v>
      </c>
      <c r="F29" s="71" t="n">
        <f aca="false">+F27+F25</f>
        <v>2</v>
      </c>
      <c r="G29" s="43"/>
      <c r="K29" s="43" t="n">
        <f aca="false">SUM(K17:K28)</f>
        <v>2</v>
      </c>
      <c r="L29" s="43" t="n">
        <f aca="false">SUM(L17:L28)</f>
        <v>336000</v>
      </c>
      <c r="O29" s="71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'[15]Team Report'!BA29</f>
        <v>0</v>
      </c>
      <c r="E31" s="58" t="n">
        <f aca="false">(C31/9)*12</f>
        <v>0</v>
      </c>
      <c r="I31" s="0" t="s">
        <v>228</v>
      </c>
      <c r="K31" s="72"/>
      <c r="L31" s="72" t="n">
        <v>0.2</v>
      </c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'[15]Team Report'!BA30</f>
        <v>0</v>
      </c>
      <c r="E32" s="58" t="n">
        <f aca="false">(C32/9)*12</f>
        <v>0</v>
      </c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'[15]Team Report'!BA31</f>
        <v>0</v>
      </c>
      <c r="E33" s="58" t="n">
        <f aca="false">(C33/9)*12</f>
        <v>0</v>
      </c>
      <c r="L33" s="43" t="n">
        <f aca="false">L29*1.2</f>
        <v>403200</v>
      </c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'[15]Team Report'!BA39</f>
        <v>0</v>
      </c>
      <c r="E34" s="58" t="n">
        <f aca="false">(C34/9)*12</f>
        <v>0</v>
      </c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'[15]Team Report'!BA40</f>
        <v>147341.9</v>
      </c>
      <c r="E35" s="58" t="n">
        <f aca="false">(C35/9)*12</f>
        <v>196455.866666667</v>
      </c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'[15]Team Report'!BA41</f>
        <v>285701.8</v>
      </c>
      <c r="E36" s="58" t="n">
        <f aca="false">(C36/9)*12</f>
        <v>380935.733333333</v>
      </c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'[15]Team Report'!BA43</f>
        <v>-4445984</v>
      </c>
      <c r="E37" s="58" t="n">
        <f aca="false">(C37/9)*12</f>
        <v>-5927978.66666667</v>
      </c>
      <c r="G37" s="16" t="s">
        <v>140</v>
      </c>
      <c r="I37" s="43"/>
      <c r="L37" s="0"/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'[15]Team Report'!BA45</f>
        <v>1176.06</v>
      </c>
      <c r="E38" s="58" t="n">
        <f aca="false">(C38/9)*12</f>
        <v>1568.08</v>
      </c>
      <c r="I38" s="43"/>
      <c r="L38" s="0"/>
    </row>
    <row r="39" customFormat="false" ht="12.75" hidden="true" customHeight="false" outlineLevel="0" collapsed="false">
      <c r="G39" s="73" t="s">
        <v>141</v>
      </c>
      <c r="I39" s="74" t="s">
        <v>142</v>
      </c>
      <c r="J39" s="74" t="s">
        <v>143</v>
      </c>
      <c r="K39" s="74" t="s">
        <v>86</v>
      </c>
      <c r="L39" s="74" t="s">
        <v>144</v>
      </c>
    </row>
    <row r="40" customFormat="false" ht="12.75" hidden="true" customHeight="false" outlineLevel="0" collapsed="false">
      <c r="C40" s="96" t="n">
        <f aca="false">C23+C31+C32+C33+C34+C35+C36+C37+C38</f>
        <v>1410442.59</v>
      </c>
      <c r="G40" s="75" t="n">
        <f aca="false">SUM(E12:E22)</f>
        <v>1630220.464</v>
      </c>
      <c r="I40" s="103" t="n">
        <f aca="false">+E29</f>
        <v>49</v>
      </c>
      <c r="J40" s="74" t="n">
        <f aca="false">+G40/I40</f>
        <v>33269.8053877551</v>
      </c>
      <c r="K40" s="103" t="n">
        <f aca="false">+K12</f>
        <v>2</v>
      </c>
      <c r="L40" s="74" t="n">
        <f aca="false">+J40*K40</f>
        <v>66539.6107755102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true" outlineLevel="0" max="7" min="7" style="0" width="12.7"/>
    <col collapsed="false" customWidth="true" hidden="true" outlineLevel="0" max="8" min="8" style="0" width="1.7"/>
    <col collapsed="false" customWidth="true" hidden="true" outlineLevel="0" max="9" min="9" style="0" width="20.7"/>
    <col collapsed="false" customWidth="true" hidden="true" outlineLevel="0" max="10" min="10" style="43" width="10.41"/>
    <col collapsed="false" customWidth="true" hidden="true" outlineLevel="0" max="11" min="11" style="43" width="10.85"/>
    <col collapsed="false" customWidth="true" hidden="true" outlineLevel="0" max="12" min="12" style="43" width="11.42"/>
    <col collapsed="false" customWidth="true" hidden="true" outlineLevel="0" max="15" min="13" style="0" width="9.14"/>
    <col collapsed="false" customWidth="false" hidden="true" outlineLevel="0" max="54" min="16" style="0" width="9.06"/>
  </cols>
  <sheetData>
    <row r="1" customFormat="false" ht="18" hidden="false" customHeight="false" outlineLevel="0" collapsed="false">
      <c r="B1" s="44" t="str">
        <f aca="false">'[15]Team Report'!B1</f>
        <v>Enron North America</v>
      </c>
      <c r="C1" s="44"/>
      <c r="D1" s="44"/>
      <c r="E1" s="44"/>
      <c r="F1" s="44"/>
      <c r="G1" s="46"/>
      <c r="H1" s="46"/>
      <c r="I1" s="46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</row>
    <row r="2" customFormat="false" ht="18" hidden="false" customHeight="false" outlineLevel="0" collapsed="false">
      <c r="B2" s="44" t="s">
        <v>43</v>
      </c>
      <c r="C2" s="44"/>
      <c r="D2" s="44"/>
      <c r="E2" s="44"/>
      <c r="F2" s="44"/>
      <c r="G2" s="46"/>
      <c r="H2" s="46"/>
      <c r="I2" s="46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</row>
    <row r="3" customFormat="false" ht="18" hidden="false" customHeight="false" outlineLevel="0" collapsed="false">
      <c r="B3" s="47" t="s">
        <v>5</v>
      </c>
      <c r="C3" s="47"/>
      <c r="D3" s="47"/>
      <c r="E3" s="47"/>
      <c r="F3" s="47"/>
      <c r="G3" s="48"/>
      <c r="H3" s="48"/>
      <c r="I3" s="48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</row>
    <row r="4" customFormat="false" ht="13.5" hidden="false" customHeight="false" outlineLevel="0" collapsed="false"/>
    <row r="5" customFormat="false" ht="12.75" hidden="false" customHeight="false" outlineLevel="0" collapsed="false">
      <c r="I5" s="79"/>
      <c r="J5" s="50"/>
      <c r="K5" s="50"/>
      <c r="L5" s="51"/>
    </row>
    <row r="6" customFormat="false" ht="12.75" hidden="false" customHeight="false" outlineLevel="0" collapsed="false">
      <c r="C6" s="54" t="n">
        <v>37135</v>
      </c>
      <c r="E6" s="54" t="s">
        <v>88</v>
      </c>
      <c r="F6" s="54" t="s">
        <v>90</v>
      </c>
      <c r="I6" s="82"/>
      <c r="J6" s="74" t="s">
        <v>85</v>
      </c>
      <c r="K6" s="74" t="s">
        <v>86</v>
      </c>
      <c r="L6" s="98" t="s">
        <v>196</v>
      </c>
      <c r="O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 t="s">
        <v>94</v>
      </c>
      <c r="G7" s="16"/>
      <c r="I7" s="82"/>
      <c r="L7" s="5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'[15]Team Report'!BA25</f>
        <v>3640949.9</v>
      </c>
      <c r="E8" s="58" t="n">
        <f aca="false">((C8/9)*12)*1.2</f>
        <v>5825519.84</v>
      </c>
      <c r="F8" s="58" t="n">
        <f aca="false">L29+433200</f>
        <v>1952400</v>
      </c>
      <c r="I8" s="82"/>
      <c r="L8" s="53"/>
      <c r="O8" s="58" t="n">
        <f aca="false">+F8/$F$29*$O$29</f>
        <v>177490.909090909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(C9/9)*12</f>
        <v>0</v>
      </c>
      <c r="F9" s="58" t="n">
        <f aca="false">(D9/9)*12</f>
        <v>0</v>
      </c>
      <c r="I9" s="82" t="s">
        <v>96</v>
      </c>
      <c r="J9" s="43" t="n">
        <v>0</v>
      </c>
      <c r="K9" s="43" t="n">
        <f aca="false">K29</f>
        <v>11</v>
      </c>
      <c r="L9" s="53" t="n">
        <f aca="false">L33</f>
        <v>1823040</v>
      </c>
      <c r="O9" s="58" t="n">
        <f aca="false">+F9/$F$29*$O$29</f>
        <v>0</v>
      </c>
    </row>
    <row r="10" customFormat="false" ht="12.75" hidden="false" customHeight="false" outlineLevel="0" collapsed="false">
      <c r="B10" s="57" t="s">
        <v>176</v>
      </c>
      <c r="C10" s="58" t="n">
        <v>0</v>
      </c>
      <c r="E10" s="58" t="n">
        <f aca="false">(C10/9)*12</f>
        <v>0</v>
      </c>
      <c r="F10" s="58" t="n">
        <f aca="false">(D10/9)*12</f>
        <v>0</v>
      </c>
      <c r="I10" s="82"/>
      <c r="L10" s="53"/>
      <c r="O10" s="58" t="n">
        <f aca="false">+F10/$F$29*$O$29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'[15]Team Report'!BA26</f>
        <v>762369.14</v>
      </c>
      <c r="E11" s="58" t="n">
        <f aca="false">((C11/9)*12)*1.2</f>
        <v>1219790.624</v>
      </c>
      <c r="F11" s="58" t="n">
        <f aca="false">L33-L29+86640</f>
        <v>390480</v>
      </c>
      <c r="I11" s="82"/>
      <c r="L11" s="53"/>
      <c r="O11" s="58" t="n">
        <f aca="false">+F11/$F$29*$O$29</f>
        <v>35498.1818181818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'[15]Team Report'!BA27</f>
        <v>173944.73</v>
      </c>
      <c r="E12" s="62" t="n">
        <f aca="false">((C12/9)*12)*1.2</f>
        <v>278311.568</v>
      </c>
      <c r="F12" s="58" t="n">
        <f aca="false">(E12/$E$29)*$F$29</f>
        <v>62478.1071020408</v>
      </c>
      <c r="I12" s="82" t="s">
        <v>67</v>
      </c>
      <c r="J12" s="43" t="n">
        <f aca="false">(E12+E13+E14+E15+E16+E17+E18+E19+E20+E21+E22)/E29</f>
        <v>33269.8053877551</v>
      </c>
      <c r="K12" s="43" t="n">
        <f aca="false">K29</f>
        <v>11</v>
      </c>
      <c r="L12" s="53" t="n">
        <f aca="false">J12*K12</f>
        <v>365967.859265306</v>
      </c>
      <c r="O12" s="58" t="n">
        <f aca="false">+F12/$F$29*$O$29</f>
        <v>5679.82791836735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'[15]Team Report'!BA28</f>
        <v>293972.73</v>
      </c>
      <c r="E13" s="62" t="n">
        <f aca="false">((C13/9)*12)*1.2</f>
        <v>470356.368</v>
      </c>
      <c r="F13" s="58" t="n">
        <f aca="false">(E13/$E$29)*$F$29</f>
        <v>105590.205061225</v>
      </c>
      <c r="I13" s="82"/>
      <c r="L13" s="53"/>
      <c r="O13" s="58" t="n">
        <f aca="false">+F13/$F$29*$O$29</f>
        <v>9599.10955102041</v>
      </c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f aca="false">'[15]Team Report'!BA32</f>
        <v>67481.55</v>
      </c>
      <c r="E14" s="62" t="n">
        <f aca="false">((C14/9)*12)*1.2</f>
        <v>107970.48</v>
      </c>
      <c r="F14" s="58" t="n">
        <f aca="false">(E14/$E$29)*$F$29</f>
        <v>24238.2710204082</v>
      </c>
      <c r="I14" s="87" t="s">
        <v>105</v>
      </c>
      <c r="J14" s="64"/>
      <c r="K14" s="64"/>
      <c r="L14" s="65" t="n">
        <f aca="false">SUM(L9:L12)</f>
        <v>2189007.85926531</v>
      </c>
      <c r="N14" s="0" t="n">
        <v>1699109</v>
      </c>
      <c r="O14" s="58" t="n">
        <f aca="false">+F14/$F$29*$O$29</f>
        <v>2203.47918367347</v>
      </c>
      <c r="P14" s="60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'[15]Team Report'!BA33</f>
        <v>48511.92</v>
      </c>
      <c r="E15" s="62" t="n">
        <f aca="false">((C15/9)*12)*1.2</f>
        <v>77619.072</v>
      </c>
      <c r="F15" s="58" t="n">
        <f aca="false">(E15/$E$29)*$F$29</f>
        <v>17424.6896326531</v>
      </c>
      <c r="I15" s="21"/>
      <c r="O15" s="58" t="n">
        <f aca="false">+F15/$F$29*$O$29</f>
        <v>1584.06269387755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'[15]Team Report'!BA34</f>
        <v>0</v>
      </c>
      <c r="E16" s="62" t="n">
        <f aca="false">(C16/9)*12</f>
        <v>0</v>
      </c>
      <c r="F16" s="58" t="n">
        <f aca="false">(E16/$E$29)*$F$29</f>
        <v>0</v>
      </c>
      <c r="I16" s="21"/>
      <c r="O16" s="58" t="n">
        <f aca="false">+F16/$F$29*$O$29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'[15]Team Report'!BA35</f>
        <v>2500</v>
      </c>
      <c r="E17" s="62" t="n">
        <f aca="false">((C17/9)*12)*1.2</f>
        <v>4000</v>
      </c>
      <c r="F17" s="58" t="n">
        <f aca="false">(E17/$E$29)*$F$29</f>
        <v>897.959183673469</v>
      </c>
      <c r="I17" s="21" t="s">
        <v>177</v>
      </c>
      <c r="J17" s="43" t="n">
        <f aca="false">30000*1.2</f>
        <v>36000</v>
      </c>
      <c r="K17" s="43" t="n">
        <f aca="false">H17*J17</f>
        <v>0</v>
      </c>
      <c r="L17" s="43" t="n">
        <f aca="false">J17*K17</f>
        <v>0</v>
      </c>
      <c r="O17" s="58" t="n">
        <f aca="false">+F17/$F$29*$O$29</f>
        <v>81.6326530612245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'[15]Team Report'!BA36</f>
        <v>0</v>
      </c>
      <c r="E18" s="62" t="n">
        <f aca="false">(C18/9)*12</f>
        <v>0</v>
      </c>
      <c r="F18" s="58" t="n">
        <f aca="false">(E18/$E$29)*$F$29</f>
        <v>0</v>
      </c>
      <c r="I18" s="0" t="s">
        <v>220</v>
      </c>
      <c r="J18" s="43" t="n">
        <v>48000</v>
      </c>
      <c r="K18" s="43" t="n">
        <v>1</v>
      </c>
      <c r="L18" s="43" t="n">
        <f aca="false">J18*K18</f>
        <v>48000</v>
      </c>
      <c r="O18" s="58" t="n">
        <f aca="false">+F18/$F$29*$O$29</f>
        <v>0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'[15]Team Report'!BA37</f>
        <v>129576.92</v>
      </c>
      <c r="E19" s="62" t="n">
        <f aca="false">((C19/9)*12)*1.2</f>
        <v>207323.072</v>
      </c>
      <c r="F19" s="58" t="n">
        <f aca="false">(E19/$E$29)*$F$29+60000</f>
        <v>106541.914122449</v>
      </c>
      <c r="I19" s="0" t="s">
        <v>118</v>
      </c>
      <c r="J19" s="43" t="n">
        <v>49200</v>
      </c>
      <c r="K19" s="43" t="n">
        <v>0</v>
      </c>
      <c r="L19" s="43" t="n">
        <f aca="false">J19*K19</f>
        <v>0</v>
      </c>
      <c r="O19" s="58" t="n">
        <f aca="false">+F19/$F$29*$O$29</f>
        <v>9685.62855658627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'[15]Team Report'!BA38</f>
        <v>10.03</v>
      </c>
      <c r="E20" s="62" t="n">
        <f aca="false">((C20/9)*12)*1.2</f>
        <v>16.048</v>
      </c>
      <c r="F20" s="58" t="n">
        <f aca="false">(E20/$E$29)*$F$29</f>
        <v>3.60261224489796</v>
      </c>
      <c r="I20" s="0" t="s">
        <v>221</v>
      </c>
      <c r="J20" s="43" t="n">
        <v>57600</v>
      </c>
      <c r="K20" s="43" t="n">
        <v>0</v>
      </c>
      <c r="L20" s="43" t="n">
        <f aca="false">J20*K20</f>
        <v>0</v>
      </c>
      <c r="O20" s="58" t="n">
        <f aca="false">+F20/$F$29*$O$29</f>
        <v>0.327510204081633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'[15]Team Report'!BA42</f>
        <v>302115.48</v>
      </c>
      <c r="E21" s="62" t="n">
        <f aca="false">((C21/9)*12)*1.2</f>
        <v>483384.768</v>
      </c>
      <c r="F21" s="58" t="n">
        <f aca="false">(E21/$E$29)*$F$29</f>
        <v>108514.947918367</v>
      </c>
      <c r="I21" s="0" t="s">
        <v>130</v>
      </c>
      <c r="J21" s="43" t="n">
        <v>72000</v>
      </c>
      <c r="K21" s="43" t="n">
        <v>0</v>
      </c>
      <c r="L21" s="43" t="n">
        <f aca="false">J21*K21</f>
        <v>0</v>
      </c>
      <c r="O21" s="58" t="n">
        <f aca="false">+F21/$F$29*$O$29</f>
        <v>9864.99526530612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'[15]Team Report'!BA44</f>
        <v>774.43</v>
      </c>
      <c r="E22" s="62" t="n">
        <f aca="false">((C22/9)*12)*1.2</f>
        <v>1239.088</v>
      </c>
      <c r="F22" s="58" t="n">
        <f aca="false">(E22/$E$29)*$F$29</f>
        <v>278.162612244898</v>
      </c>
      <c r="I22" s="0" t="s">
        <v>121</v>
      </c>
      <c r="J22" s="43" t="n">
        <v>62400</v>
      </c>
      <c r="K22" s="43" t="n">
        <v>0</v>
      </c>
      <c r="L22" s="43" t="n">
        <f aca="false">J22*K22</f>
        <v>0</v>
      </c>
      <c r="O22" s="58" t="n">
        <f aca="false">+F22/$F$29*$O$29</f>
        <v>25.2875102040816</v>
      </c>
    </row>
    <row r="23" customFormat="false" ht="13.5" hidden="false" customHeight="false" outlineLevel="0" collapsed="false">
      <c r="A23" s="66" t="s">
        <v>131</v>
      </c>
      <c r="B23" s="67" t="s">
        <v>132</v>
      </c>
      <c r="C23" s="68" t="n">
        <f aca="false">SUM(C8:C22)</f>
        <v>5422206.83</v>
      </c>
      <c r="E23" s="68" t="n">
        <f aca="false">SUM(E8:E22)</f>
        <v>8675530.928</v>
      </c>
      <c r="F23" s="68" t="n">
        <f aca="false">SUM(F8:F22)</f>
        <v>2768847.85926531</v>
      </c>
      <c r="I23" s="0" t="s">
        <v>241</v>
      </c>
      <c r="J23" s="43" t="n">
        <v>74400</v>
      </c>
      <c r="K23" s="43" t="n">
        <v>1</v>
      </c>
      <c r="L23" s="43" t="n">
        <f aca="false">J23*K23</f>
        <v>74400</v>
      </c>
      <c r="O23" s="90" t="n">
        <f aca="false">SUM(O8:O22)</f>
        <v>251713.441751391</v>
      </c>
    </row>
    <row r="24" customFormat="false" ht="12.75" hidden="false" customHeight="false" outlineLevel="0" collapsed="false">
      <c r="I24" s="0" t="s">
        <v>223</v>
      </c>
      <c r="J24" s="43" t="n">
        <v>90000</v>
      </c>
      <c r="K24" s="43" t="n">
        <v>1</v>
      </c>
      <c r="L24" s="43" t="n">
        <f aca="false">J24*K24</f>
        <v>90000</v>
      </c>
    </row>
    <row r="25" customFormat="false" ht="12.75" hidden="false" customHeight="false" outlineLevel="0" collapsed="false">
      <c r="B25" s="67" t="s">
        <v>9</v>
      </c>
      <c r="C25" s="58"/>
      <c r="E25" s="71" t="n">
        <v>44</v>
      </c>
      <c r="F25" s="71" t="n">
        <f aca="false">+K29</f>
        <v>11</v>
      </c>
      <c r="I25" s="0" t="s">
        <v>224</v>
      </c>
      <c r="J25" s="43" t="n">
        <v>120000</v>
      </c>
      <c r="K25" s="43" t="n">
        <v>5</v>
      </c>
      <c r="L25" s="43" t="n">
        <f aca="false">J25*K25</f>
        <v>600000</v>
      </c>
      <c r="O25" s="71" t="n">
        <f aca="false">SUM(U16:U20,U23:U27)</f>
        <v>0</v>
      </c>
    </row>
    <row r="26" customFormat="false" ht="12.75" hidden="false" customHeight="false" outlineLevel="0" collapsed="false">
      <c r="C26" s="58"/>
      <c r="E26" s="58"/>
      <c r="F26" s="58"/>
      <c r="I26" s="0" t="s">
        <v>225</v>
      </c>
      <c r="J26" s="43" t="n">
        <v>178800</v>
      </c>
      <c r="K26" s="43" t="n">
        <v>1</v>
      </c>
      <c r="L26" s="43" t="n">
        <f aca="false">J26*K26</f>
        <v>178800</v>
      </c>
      <c r="O26" s="58"/>
    </row>
    <row r="27" customFormat="false" ht="12.75" hidden="false" customHeight="false" outlineLevel="0" collapsed="false">
      <c r="B27" s="67" t="s">
        <v>237</v>
      </c>
      <c r="C27" s="58"/>
      <c r="E27" s="71" t="n">
        <v>5</v>
      </c>
      <c r="F27" s="71" t="n">
        <v>0</v>
      </c>
      <c r="I27" s="0" t="s">
        <v>226</v>
      </c>
      <c r="J27" s="43" t="n">
        <v>216000</v>
      </c>
      <c r="K27" s="43" t="n">
        <v>1</v>
      </c>
      <c r="L27" s="43" t="n">
        <f aca="false">J27*K27</f>
        <v>216000</v>
      </c>
      <c r="O27" s="71" t="n">
        <f aca="false">SUM(U21:U22)</f>
        <v>0</v>
      </c>
    </row>
    <row r="28" customFormat="false" ht="12.75" hidden="false" customHeight="false" outlineLevel="0" collapsed="false">
      <c r="I28" s="0" t="s">
        <v>227</v>
      </c>
      <c r="J28" s="43" t="n">
        <v>312000</v>
      </c>
      <c r="K28" s="43" t="n">
        <v>1</v>
      </c>
      <c r="L28" s="43" t="n">
        <f aca="false">J28*K28</f>
        <v>312000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49</v>
      </c>
      <c r="F29" s="71" t="n">
        <f aca="false">+F27+F25</f>
        <v>11</v>
      </c>
      <c r="G29" s="43"/>
      <c r="K29" s="43" t="n">
        <f aca="false">SUM(K17:K28)</f>
        <v>11</v>
      </c>
      <c r="L29" s="43" t="n">
        <f aca="false">SUM(L17:L28)</f>
        <v>1519200</v>
      </c>
      <c r="O29" s="71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'[15]Team Report'!BA29</f>
        <v>0</v>
      </c>
      <c r="E31" s="58" t="n">
        <f aca="false">(C31/9)*12</f>
        <v>0</v>
      </c>
      <c r="I31" s="0" t="s">
        <v>228</v>
      </c>
      <c r="K31" s="72"/>
      <c r="L31" s="72" t="n">
        <v>0.2</v>
      </c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'[15]Team Report'!BA30</f>
        <v>0</v>
      </c>
      <c r="E32" s="58" t="n">
        <f aca="false">(C32/9)*12</f>
        <v>0</v>
      </c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'[15]Team Report'!BA31</f>
        <v>0</v>
      </c>
      <c r="E33" s="58" t="n">
        <f aca="false">(C33/9)*12</f>
        <v>0</v>
      </c>
      <c r="L33" s="43" t="n">
        <f aca="false">L29*1.2</f>
        <v>1823040</v>
      </c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'[15]Team Report'!BA39</f>
        <v>0</v>
      </c>
      <c r="E34" s="58" t="n">
        <f aca="false">(C34/9)*12</f>
        <v>0</v>
      </c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'[15]Team Report'!BA40</f>
        <v>147341.9</v>
      </c>
      <c r="E35" s="58" t="n">
        <f aca="false">(C35/9)*12</f>
        <v>196455.866666667</v>
      </c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'[15]Team Report'!BA41</f>
        <v>285701.8</v>
      </c>
      <c r="E36" s="58" t="n">
        <f aca="false">(C36/9)*12</f>
        <v>380935.733333333</v>
      </c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'[15]Team Report'!BA43</f>
        <v>-4445984</v>
      </c>
      <c r="E37" s="58" t="n">
        <f aca="false">(C37/9)*12</f>
        <v>-5927978.66666667</v>
      </c>
      <c r="G37" s="16" t="s">
        <v>140</v>
      </c>
      <c r="I37" s="43"/>
      <c r="L37" s="0"/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'[15]Team Report'!BA45</f>
        <v>1176.06</v>
      </c>
      <c r="E38" s="58" t="n">
        <f aca="false">(C38/9)*12</f>
        <v>1568.08</v>
      </c>
      <c r="I38" s="43"/>
      <c r="L38" s="0"/>
    </row>
    <row r="39" customFormat="false" ht="12.75" hidden="true" customHeight="false" outlineLevel="0" collapsed="false">
      <c r="G39" s="73" t="s">
        <v>141</v>
      </c>
      <c r="I39" s="74" t="s">
        <v>142</v>
      </c>
      <c r="J39" s="74" t="s">
        <v>143</v>
      </c>
      <c r="K39" s="74" t="s">
        <v>86</v>
      </c>
      <c r="L39" s="74" t="s">
        <v>144</v>
      </c>
    </row>
    <row r="40" customFormat="false" ht="12.75" hidden="true" customHeight="false" outlineLevel="0" collapsed="false">
      <c r="C40" s="96" t="n">
        <f aca="false">C23+C31+C32+C33+C34+C35+C36+C37+C38</f>
        <v>1410442.59</v>
      </c>
      <c r="G40" s="75" t="n">
        <f aca="false">SUM(E12:E22)</f>
        <v>1630220.464</v>
      </c>
      <c r="I40" s="103" t="n">
        <f aca="false">+E29</f>
        <v>49</v>
      </c>
      <c r="J40" s="74" t="n">
        <f aca="false">+G40/I40</f>
        <v>33269.8053877551</v>
      </c>
      <c r="K40" s="103" t="n">
        <f aca="false">+K12</f>
        <v>11</v>
      </c>
      <c r="L40" s="74" t="n">
        <f aca="false">+J40*K40</f>
        <v>365967.859265306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43" width="10.41"/>
    <col collapsed="false" customWidth="true" hidden="true" outlineLevel="0" max="11" min="11" style="43" width="10.85"/>
    <col collapsed="false" customWidth="true" hidden="true" outlineLevel="0" max="12" min="12" style="43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44" t="str">
        <f aca="false">'[11]Team Report'!B1</f>
        <v>Enron North America</v>
      </c>
      <c r="C1" s="44"/>
      <c r="D1" s="44"/>
      <c r="E1" s="44"/>
      <c r="F1" s="44"/>
      <c r="G1" s="44"/>
      <c r="H1" s="44"/>
      <c r="I1" s="46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</row>
    <row r="2" customFormat="false" ht="18" hidden="false" customHeight="false" outlineLevel="0" collapsed="false">
      <c r="B2" s="44" t="s">
        <v>250</v>
      </c>
      <c r="C2" s="44"/>
      <c r="D2" s="44"/>
      <c r="E2" s="44"/>
      <c r="F2" s="44"/>
      <c r="G2" s="44"/>
      <c r="H2" s="44"/>
      <c r="I2" s="46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</row>
    <row r="3" customFormat="false" ht="18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8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</row>
    <row r="4" customFormat="false" ht="13.5" hidden="false" customHeight="false" outlineLevel="0" collapsed="false">
      <c r="I4" s="97" t="s">
        <v>251</v>
      </c>
      <c r="J4" s="97"/>
      <c r="K4" s="97"/>
      <c r="L4" s="97"/>
    </row>
    <row r="5" customFormat="false" ht="12.75" hidden="false" customHeight="false" outlineLevel="0" collapsed="false">
      <c r="I5" s="79"/>
      <c r="J5" s="50"/>
      <c r="K5" s="50"/>
      <c r="L5" s="51"/>
      <c r="M5" s="21"/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180</v>
      </c>
      <c r="H6" s="54" t="s">
        <v>90</v>
      </c>
      <c r="I6" s="82"/>
      <c r="J6" s="74" t="s">
        <v>85</v>
      </c>
      <c r="K6" s="74" t="s">
        <v>86</v>
      </c>
      <c r="L6" s="98" t="s">
        <v>196</v>
      </c>
      <c r="M6" s="21"/>
      <c r="Q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181</v>
      </c>
      <c r="H7" s="55" t="s">
        <v>94</v>
      </c>
      <c r="I7" s="82"/>
      <c r="L7" s="53"/>
      <c r="M7" s="21"/>
      <c r="Q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99" t="n">
        <f aca="false">'[11]Team Report'!BA25</f>
        <v>4985502.23</v>
      </c>
      <c r="E8" s="58" t="n">
        <f aca="false">((C8/9)*12)*1.3</f>
        <v>8641537.19866667</v>
      </c>
      <c r="H8" s="58" t="n">
        <f aca="false">L29-H10</f>
        <v>13408750</v>
      </c>
      <c r="I8" s="82"/>
      <c r="L8" s="53"/>
      <c r="M8" s="21"/>
      <c r="Q8" s="58" t="n">
        <f aca="false">+H8/$H$29*$Q$29</f>
        <v>72873.6413043478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(C9/9)*12</f>
        <v>0</v>
      </c>
      <c r="H9" s="58" t="n">
        <v>0</v>
      </c>
      <c r="I9" s="82" t="s">
        <v>96</v>
      </c>
      <c r="J9" s="43" t="n">
        <v>0</v>
      </c>
      <c r="K9" s="43" t="n">
        <f aca="false">K29</f>
        <v>184</v>
      </c>
      <c r="L9" s="53" t="n">
        <f aca="false">L33</f>
        <v>17530500</v>
      </c>
      <c r="M9" s="21"/>
      <c r="Q9" s="58" t="n">
        <f aca="false">+H9/$H$29*$Q$29</f>
        <v>0</v>
      </c>
    </row>
    <row r="10" customFormat="false" ht="12.75" hidden="false" customHeight="false" outlineLevel="0" collapsed="false">
      <c r="A10" s="56"/>
      <c r="B10" s="57" t="s">
        <v>198</v>
      </c>
      <c r="C10" s="58" t="n">
        <v>0</v>
      </c>
      <c r="E10" s="58" t="n">
        <f aca="false">(C10/9)*12</f>
        <v>0</v>
      </c>
      <c r="H10" s="58" t="n">
        <f aca="false">L20+L21</f>
        <v>1200000</v>
      </c>
      <c r="I10" s="82"/>
      <c r="L10" s="53"/>
      <c r="M10" s="21"/>
      <c r="Q10" s="58" t="n">
        <f aca="false">+H10/$H$29*$Q$29</f>
        <v>6521.73913043478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'[11]Team Report'!BA26</f>
        <v>1210281.11</v>
      </c>
      <c r="E11" s="58" t="n">
        <f aca="false">((C11/9)*12)*1.3</f>
        <v>2097820.59066667</v>
      </c>
      <c r="H11" s="58" t="n">
        <f aca="false">L33-L29</f>
        <v>2921750</v>
      </c>
      <c r="I11" s="82"/>
      <c r="L11" s="53"/>
      <c r="M11" s="21"/>
      <c r="Q11" s="58" t="n">
        <f aca="false">+H11/$H$29*$Q$29</f>
        <v>15879.0760869565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'[11]Team Report'!BA27</f>
        <v>190029.97</v>
      </c>
      <c r="E12" s="58" t="n">
        <f aca="false">((C12/9)*12)*1.3</f>
        <v>329385.281333333</v>
      </c>
      <c r="H12" s="58" t="n">
        <f aca="false">(E12/$E$29)*$K$12</f>
        <v>513617.726824859</v>
      </c>
      <c r="I12" s="82" t="s">
        <v>67</v>
      </c>
      <c r="J12" s="43" t="n">
        <f aca="false">(E12+E13+E14+E15+E16+E17+E18+E19+E20+E21+E22)/E29</f>
        <v>72139.8418870057</v>
      </c>
      <c r="K12" s="43" t="n">
        <f aca="false">K29</f>
        <v>184</v>
      </c>
      <c r="L12" s="53" t="n">
        <f aca="false">J12*K12</f>
        <v>13273730.907209</v>
      </c>
      <c r="M12" s="21"/>
      <c r="Q12" s="58" t="n">
        <f aca="false">+H12/$H$29*$Q$29</f>
        <v>2791.40068926554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'[11]Team Report'!BA28</f>
        <v>78390.58</v>
      </c>
      <c r="E13" s="58" t="n">
        <f aca="false">((C13/9)*12)*1.3</f>
        <v>135877.005333333</v>
      </c>
      <c r="H13" s="58" t="n">
        <f aca="false">(E13/$E$29)*$K$12</f>
        <v>211876.008316384</v>
      </c>
      <c r="I13" s="82"/>
      <c r="L13" s="53"/>
      <c r="M13" s="21"/>
      <c r="Q13" s="58" t="n">
        <f aca="false">+H13/$H$29*$Q$29</f>
        <v>1151.50004519774</v>
      </c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v>0</v>
      </c>
      <c r="E14" s="58" t="n">
        <f aca="false">(4000000*1.2)+222800</f>
        <v>5022800</v>
      </c>
      <c r="H14" s="58" t="n">
        <f aca="false">(E14/$E$29)*$K$12</f>
        <v>7832162.71186441</v>
      </c>
      <c r="I14" s="87" t="s">
        <v>105</v>
      </c>
      <c r="J14" s="64"/>
      <c r="K14" s="64"/>
      <c r="L14" s="65" t="n">
        <f aca="false">SUM(L9:L12)</f>
        <v>30804230.907209</v>
      </c>
      <c r="M14" s="21"/>
      <c r="N14" s="0" t="n">
        <v>36500125</v>
      </c>
      <c r="P14" s="60" t="n">
        <f aca="false">N14-L14</f>
        <v>5695894.09279096</v>
      </c>
      <c r="Q14" s="58" t="n">
        <f aca="false">+H14/$H$29*$Q$29</f>
        <v>42566.1016949153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'[11]Team Report'!BA33</f>
        <v>69921.63</v>
      </c>
      <c r="E15" s="58" t="n">
        <f aca="false">2087875*1.3</f>
        <v>2714237.5</v>
      </c>
      <c r="H15" s="58" t="n">
        <f aca="false">(E15/$E$29)*$K$12</f>
        <v>4232370.33898305</v>
      </c>
      <c r="I15" s="21"/>
      <c r="M15" s="21"/>
      <c r="Q15" s="58" t="n">
        <f aca="false">+H15/$H$29*$Q$29</f>
        <v>23002.0127118644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'[11]Team Report'!BA34</f>
        <v>0</v>
      </c>
      <c r="E16" s="58" t="n">
        <f aca="false">(C16/9)*12</f>
        <v>0</v>
      </c>
      <c r="H16" s="58" t="n">
        <f aca="false">(E16/$E$29)*$K$12</f>
        <v>0</v>
      </c>
      <c r="I16" s="21"/>
      <c r="M16" s="21"/>
      <c r="Q16" s="58" t="n">
        <f aca="false">+H16/$H$29*$Q$29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'[11]Team Report'!BA35</f>
        <v>0</v>
      </c>
      <c r="E17" s="58" t="n">
        <f aca="false">(C17/9)*12</f>
        <v>0</v>
      </c>
      <c r="H17" s="58" t="n">
        <f aca="false">(E17/$E$29)*$K$12</f>
        <v>0</v>
      </c>
      <c r="I17" s="21" t="s">
        <v>177</v>
      </c>
      <c r="J17" s="43" t="n">
        <v>37500</v>
      </c>
      <c r="K17" s="0" t="n">
        <f aca="false">1+1</f>
        <v>2</v>
      </c>
      <c r="L17" s="43" t="n">
        <f aca="false">J17*K17</f>
        <v>75000</v>
      </c>
      <c r="N17" s="0" t="n">
        <v>1.25</v>
      </c>
      <c r="Q17" s="58" t="n">
        <f aca="false">+H17/$H$29*$Q$29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'[11]Team Report'!BA36</f>
        <v>19039.67</v>
      </c>
      <c r="E18" s="58" t="n">
        <f aca="false">((C18/9)*12)*1.3</f>
        <v>33002.0946666667</v>
      </c>
      <c r="H18" s="58" t="n">
        <f aca="false">(E18/$E$29)*$K$12</f>
        <v>51460.8933785311</v>
      </c>
      <c r="I18" s="0" t="s">
        <v>220</v>
      </c>
      <c r="J18" s="43" t="n">
        <v>52500</v>
      </c>
      <c r="K18" s="0" t="n">
        <f aca="false">1+2+1+1</f>
        <v>5</v>
      </c>
      <c r="L18" s="43" t="n">
        <f aca="false">J18*K18</f>
        <v>262500</v>
      </c>
      <c r="Q18" s="58" t="n">
        <f aca="false">+H18/$H$29*$Q$29</f>
        <v>279.678768361582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'[11]Team Report'!BA37</f>
        <v>17422.02</v>
      </c>
      <c r="E19" s="58" t="n">
        <v>145000</v>
      </c>
      <c r="H19" s="58" t="n">
        <f aca="false">(E19/$E$29)*$K$12</f>
        <v>226101.694915254</v>
      </c>
      <c r="I19" s="0" t="s">
        <v>118</v>
      </c>
      <c r="J19" s="43" t="n">
        <v>56250</v>
      </c>
      <c r="K19" s="0" t="n">
        <f aca="false">7+2+1+1+4+2</f>
        <v>17</v>
      </c>
      <c r="L19" s="43" t="n">
        <f aca="false">J19*K19</f>
        <v>956250</v>
      </c>
      <c r="Q19" s="58" t="n">
        <f aca="false">+H19/$H$29*$Q$29</f>
        <v>1228.81355932203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'[11]Team Report'!BA38</f>
        <v>0</v>
      </c>
      <c r="E20" s="58" t="n">
        <f aca="false">(C20/9)*12</f>
        <v>0</v>
      </c>
      <c r="H20" s="58" t="n">
        <f aca="false">(E20/$E$29)*$K$12</f>
        <v>0</v>
      </c>
      <c r="I20" s="0" t="s">
        <v>130</v>
      </c>
      <c r="J20" s="43" t="n">
        <v>75000</v>
      </c>
      <c r="K20" s="0" t="n">
        <f aca="false">3+1</f>
        <v>4</v>
      </c>
      <c r="L20" s="43" t="n">
        <f aca="false">J20*K20</f>
        <v>300000</v>
      </c>
      <c r="Q20" s="58" t="n">
        <f aca="false">+H20/$H$29*$Q$29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'[11]Team Report'!BA42</f>
        <v>75042.68</v>
      </c>
      <c r="E21" s="58" t="n">
        <f aca="false">((C21/9)*12)*1.3</f>
        <v>130073.978666667</v>
      </c>
      <c r="H21" s="58" t="n">
        <f aca="false">(E21/$E$29)*$K$12</f>
        <v>202827.220971751</v>
      </c>
      <c r="I21" s="0" t="s">
        <v>221</v>
      </c>
      <c r="J21" s="43" t="n">
        <v>60000</v>
      </c>
      <c r="K21" s="0" t="n">
        <f aca="false">2+12+1</f>
        <v>15</v>
      </c>
      <c r="L21" s="43" t="n">
        <f aca="false">J21*K21</f>
        <v>900000</v>
      </c>
      <c r="Q21" s="58" t="n">
        <f aca="false">+H21/$H$29*$Q$29</f>
        <v>1102.32185310734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'[11]Team Report'!BA44</f>
        <v>1226.24</v>
      </c>
      <c r="E22" s="58" t="n">
        <f aca="false">((C22/9)*12)*1.3</f>
        <v>2125.48266666667</v>
      </c>
      <c r="H22" s="58" t="n">
        <f aca="false">(E22/$E$29)*$K$12</f>
        <v>3314.31195480226</v>
      </c>
      <c r="I22" s="0" t="s">
        <v>121</v>
      </c>
      <c r="J22" s="43" t="n">
        <v>65000</v>
      </c>
      <c r="K22" s="0" t="n">
        <f aca="false">8+4+5+10+9+2+2+4+4+1</f>
        <v>49</v>
      </c>
      <c r="L22" s="43" t="n">
        <f aca="false">J22*K22</f>
        <v>3185000</v>
      </c>
      <c r="Q22" s="58" t="n">
        <f aca="false">+H22/$H$29*$Q$29</f>
        <v>18.0125649717514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6646856.13</v>
      </c>
      <c r="E23" s="68" t="n">
        <f aca="false">SUM(E8:E22)</f>
        <v>19251859.132</v>
      </c>
      <c r="H23" s="68" t="n">
        <f aca="false">SUM(H8:H22)</f>
        <v>30804230.907209</v>
      </c>
      <c r="I23" s="0" t="s">
        <v>222</v>
      </c>
      <c r="J23" s="43" t="n">
        <v>82500</v>
      </c>
      <c r="K23" s="0" t="n">
        <f aca="false">10+1+13+6+6+3+7+1+2+6</f>
        <v>55</v>
      </c>
      <c r="L23" s="43" t="n">
        <f aca="false">J23*K23</f>
        <v>4537500</v>
      </c>
      <c r="Q23" s="68" t="n">
        <f aca="false">SUM(Q8:Q22)</f>
        <v>167414.298408745</v>
      </c>
    </row>
    <row r="24" customFormat="false" ht="12.75" hidden="false" customHeight="false" outlineLevel="0" collapsed="false">
      <c r="I24" s="0" t="s">
        <v>223</v>
      </c>
      <c r="J24" s="43" t="n">
        <v>100000</v>
      </c>
      <c r="K24" s="0" t="n">
        <f aca="false">2+1+8+6+3+1+4</f>
        <v>25</v>
      </c>
      <c r="L24" s="43" t="n">
        <f aca="false">J24*K24</f>
        <v>2500000</v>
      </c>
    </row>
    <row r="25" customFormat="false" ht="12.75" hidden="false" customHeight="false" outlineLevel="0" collapsed="false">
      <c r="B25" s="67" t="s">
        <v>9</v>
      </c>
      <c r="C25" s="101"/>
      <c r="E25" s="101" t="n">
        <v>114</v>
      </c>
      <c r="H25" s="101" t="n">
        <f aca="false">SUM(K17:K19,K22:K28)</f>
        <v>165</v>
      </c>
      <c r="I25" s="0" t="s">
        <v>224</v>
      </c>
      <c r="J25" s="43" t="n">
        <v>145000</v>
      </c>
      <c r="K25" s="0" t="n">
        <f aca="false">1+1+1+1+2+1+2</f>
        <v>9</v>
      </c>
      <c r="L25" s="43" t="n">
        <f aca="false">J25*K25</f>
        <v>1305000</v>
      </c>
      <c r="Q25" s="71" t="n">
        <f aca="false">+T16+T17+T18+T19+T20+T23+T24+T25+T26+T27</f>
        <v>0</v>
      </c>
    </row>
    <row r="26" customFormat="false" ht="12.75" hidden="false" customHeight="false" outlineLevel="0" collapsed="false">
      <c r="I26" s="0" t="s">
        <v>225</v>
      </c>
      <c r="J26" s="43" t="n">
        <v>175000</v>
      </c>
      <c r="K26" s="0" t="n">
        <f aca="false">1+1</f>
        <v>2</v>
      </c>
      <c r="L26" s="43" t="n">
        <f aca="false">J26*K26</f>
        <v>350000</v>
      </c>
      <c r="Q26" s="58"/>
    </row>
    <row r="27" customFormat="false" ht="12.75" hidden="false" customHeight="false" outlineLevel="0" collapsed="false">
      <c r="B27" s="67" t="s">
        <v>137</v>
      </c>
      <c r="C27" s="101"/>
      <c r="E27" s="101" t="n">
        <v>4</v>
      </c>
      <c r="H27" s="101" t="n">
        <f aca="false">SUM(K20:K21)</f>
        <v>19</v>
      </c>
      <c r="I27" s="0" t="s">
        <v>226</v>
      </c>
      <c r="J27" s="43" t="n">
        <v>237500</v>
      </c>
      <c r="K27" s="0" t="n">
        <f aca="false">1</f>
        <v>1</v>
      </c>
      <c r="L27" s="43" t="n">
        <f aca="false">J27*K27</f>
        <v>237500</v>
      </c>
      <c r="Q27" s="71" t="n">
        <f aca="false">+T21+T22</f>
        <v>0</v>
      </c>
    </row>
    <row r="28" customFormat="false" ht="12.75" hidden="false" customHeight="false" outlineLevel="0" collapsed="false">
      <c r="I28" s="0" t="s">
        <v>227</v>
      </c>
      <c r="J28" s="43" t="n">
        <v>312500</v>
      </c>
      <c r="K28" s="0" t="n">
        <v>0</v>
      </c>
      <c r="L28" s="43" t="n">
        <f aca="false">J28*K28</f>
        <v>0</v>
      </c>
    </row>
    <row r="29" customFormat="false" ht="12.75" hidden="false" customHeight="false" outlineLevel="0" collapsed="false">
      <c r="B29" s="67" t="s">
        <v>139</v>
      </c>
      <c r="C29" s="101"/>
      <c r="E29" s="101" t="n">
        <f aca="false">SUM(E25:E28)</f>
        <v>118</v>
      </c>
      <c r="H29" s="101" t="n">
        <f aca="false">SUM(H25:H28)</f>
        <v>184</v>
      </c>
      <c r="K29" s="43" t="n">
        <f aca="false">SUM(K17:K28)</f>
        <v>184</v>
      </c>
      <c r="L29" s="43" t="n">
        <f aca="false">SUM(L17:L28)</f>
        <v>14608750</v>
      </c>
      <c r="Q29" s="71" t="n">
        <v>1</v>
      </c>
    </row>
    <row r="30" customFormat="false" ht="12.75" hidden="true" customHeight="false" outlineLevel="0" collapsed="false">
      <c r="B30" s="67"/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'[11]Team Report'!BA29</f>
        <v>0</v>
      </c>
      <c r="E31" s="58" t="n">
        <f aca="false">(C31/9)*12</f>
        <v>0</v>
      </c>
      <c r="I31" s="0" t="s">
        <v>228</v>
      </c>
      <c r="K31" s="72"/>
      <c r="L31" s="72" t="n">
        <v>0.2</v>
      </c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'[11]Team Report'!BA30</f>
        <v>0</v>
      </c>
      <c r="E32" s="58" t="n">
        <f aca="false">(C32/9)*12</f>
        <v>0</v>
      </c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'[11]Team Report'!BA31</f>
        <v>0</v>
      </c>
      <c r="E33" s="58" t="n">
        <f aca="false">(C33/9)*12</f>
        <v>0</v>
      </c>
      <c r="L33" s="43" t="n">
        <f aca="false">L29*1.2</f>
        <v>17530500</v>
      </c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'[11]Team Report'!BA39</f>
        <v>0</v>
      </c>
      <c r="E34" s="58" t="n">
        <f aca="false">(C34/9)*12</f>
        <v>0</v>
      </c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'[11]Team Report'!BA40</f>
        <v>24670.39</v>
      </c>
      <c r="E35" s="58" t="n">
        <f aca="false">(C35/9)*12</f>
        <v>32893.8533333333</v>
      </c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'[11]Team Report'!BA41</f>
        <v>481045.43</v>
      </c>
      <c r="E36" s="58" t="n">
        <f aca="false">(C36/9)*12</f>
        <v>641393.906666667</v>
      </c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'[11]Team Report'!BA43</f>
        <v>-771915.88</v>
      </c>
      <c r="E37" s="58" t="n">
        <f aca="false">(C37/9)*12</f>
        <v>-1029221.17333333</v>
      </c>
      <c r="H37" s="16" t="s">
        <v>140</v>
      </c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'[11]Team Report'!BA45</f>
        <v>0</v>
      </c>
      <c r="E38" s="58" t="n">
        <f aca="false">(C38/9)*12</f>
        <v>0</v>
      </c>
    </row>
    <row r="39" customFormat="false" ht="12.75" hidden="true" customHeight="false" outlineLevel="0" collapsed="false">
      <c r="A39" s="56"/>
      <c r="B39" s="57"/>
      <c r="C39" s="58"/>
      <c r="E39" s="58"/>
      <c r="H39" s="0" t="s">
        <v>239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96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28"/>
    <col collapsed="false" customWidth="true" hidden="false" outlineLevel="0" max="7" min="7" style="0" width="15.13"/>
    <col collapsed="false" customWidth="true" hidden="true" outlineLevel="0" max="8" min="8" style="0" width="13.56"/>
    <col collapsed="false" customWidth="true" hidden="true" outlineLevel="0" max="9" min="9" style="0" width="20.7"/>
    <col collapsed="false" customWidth="true" hidden="true" outlineLevel="0" max="10" min="10" style="43" width="11.85"/>
    <col collapsed="false" customWidth="true" hidden="true" outlineLevel="0" max="11" min="11" style="43" width="10.85"/>
    <col collapsed="false" customWidth="true" hidden="true" outlineLevel="0" max="12" min="12" style="43" width="12.28"/>
    <col collapsed="false" customWidth="true" hidden="true" outlineLevel="0" max="13" min="13" style="0" width="12.14"/>
    <col collapsed="false" customWidth="true" hidden="true" outlineLevel="0" max="16" min="14" style="0" width="9.14"/>
    <col collapsed="false" customWidth="false" hidden="true" outlineLevel="0" max="46" min="17" style="0" width="9.06"/>
  </cols>
  <sheetData>
    <row r="1" customFormat="false" ht="18" hidden="false" customHeight="false" outlineLevel="0" collapsed="false">
      <c r="B1" s="44" t="str">
        <f aca="false">'[16]Team Report'!B1</f>
        <v>Enron North America</v>
      </c>
      <c r="C1" s="44"/>
      <c r="D1" s="44"/>
      <c r="E1" s="44"/>
      <c r="F1" s="44"/>
      <c r="G1" s="44"/>
      <c r="H1" s="46"/>
      <c r="I1" s="46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252</v>
      </c>
      <c r="C2" s="44"/>
      <c r="D2" s="44"/>
      <c r="E2" s="44"/>
      <c r="F2" s="44"/>
      <c r="G2" s="44"/>
      <c r="H2" s="46"/>
      <c r="I2" s="46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" hidden="false" customHeight="false" outlineLevel="0" collapsed="false">
      <c r="B3" s="47" t="s">
        <v>5</v>
      </c>
      <c r="C3" s="47"/>
      <c r="D3" s="47"/>
      <c r="E3" s="47"/>
      <c r="F3" s="47"/>
      <c r="G3" s="47"/>
      <c r="H3" s="48"/>
      <c r="I3" s="48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3.5" hidden="false" customHeight="false" outlineLevel="0" collapsed="false"/>
    <row r="5" customFormat="false" ht="12.75" hidden="false" customHeight="false" outlineLevel="0" collapsed="false">
      <c r="I5" s="79"/>
      <c r="J5" s="50"/>
      <c r="K5" s="50"/>
      <c r="L5" s="51"/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90</v>
      </c>
      <c r="I6" s="82"/>
      <c r="J6" s="74" t="s">
        <v>85</v>
      </c>
      <c r="K6" s="74" t="s">
        <v>86</v>
      </c>
      <c r="L6" s="98" t="s">
        <v>196</v>
      </c>
      <c r="O6" s="94" t="n">
        <v>2002</v>
      </c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94</v>
      </c>
      <c r="I7" s="82"/>
      <c r="L7" s="5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99" t="n">
        <f aca="false">'[16]Team Report'!BA25</f>
        <v>3696902.52</v>
      </c>
      <c r="E8" s="58" t="n">
        <f aca="false">(C8/9)*12</f>
        <v>4929203.36</v>
      </c>
      <c r="G8" s="58" t="n">
        <f aca="false">L29-G10+212800</f>
        <v>1420000</v>
      </c>
      <c r="I8" s="82"/>
      <c r="L8" s="53"/>
      <c r="O8" s="58" t="n">
        <f aca="false">+G8/$G$29*$O$29</f>
        <v>101428.571428571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(C9/9)*12</f>
        <v>0</v>
      </c>
      <c r="G9" s="58" t="n">
        <v>0</v>
      </c>
      <c r="I9" s="82" t="s">
        <v>96</v>
      </c>
      <c r="J9" s="43" t="n">
        <v>0</v>
      </c>
      <c r="K9" s="43" t="n">
        <v>19</v>
      </c>
      <c r="L9" s="53" t="n">
        <f aca="false">L33</f>
        <v>1448640</v>
      </c>
      <c r="O9" s="58" t="n">
        <f aca="false">+G9/$G$29*$O$29</f>
        <v>0</v>
      </c>
    </row>
    <row r="10" customFormat="false" ht="12.75" hidden="true" customHeight="false" outlineLevel="0" collapsed="false">
      <c r="A10" s="56"/>
      <c r="B10" s="57" t="s">
        <v>246</v>
      </c>
      <c r="C10" s="58" t="n">
        <v>0</v>
      </c>
      <c r="E10" s="58" t="n">
        <f aca="false">(C10/9)*12</f>
        <v>0</v>
      </c>
      <c r="G10" s="58" t="n">
        <v>0</v>
      </c>
      <c r="I10" s="82"/>
      <c r="L10" s="53"/>
      <c r="O10" s="58" t="n">
        <f aca="false">+G10/$G$29*$O$29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'[16]Team Report'!BA26</f>
        <v>823813.24</v>
      </c>
      <c r="E11" s="58" t="n">
        <f aca="false">(C11/9)*12</f>
        <v>1098417.65333333</v>
      </c>
      <c r="G11" s="58" t="n">
        <f aca="false">L33-L29+141960</f>
        <v>383400</v>
      </c>
      <c r="I11" s="82"/>
      <c r="L11" s="53"/>
      <c r="O11" s="58" t="n">
        <f aca="false">+G11/$G$29*$O$29</f>
        <v>27385.7142857143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'[16]Team Report'!BA27</f>
        <v>-177210.59</v>
      </c>
      <c r="E12" s="62" t="n">
        <f aca="false">((C12/9)*12+350000)*1.4</f>
        <v>159206.898666667</v>
      </c>
      <c r="G12" s="58" t="n">
        <f aca="false">(E12/$E$29)*$G$29+13466</f>
        <v>40000.4831111111</v>
      </c>
      <c r="I12" s="82" t="s">
        <v>67</v>
      </c>
      <c r="J12" s="43" t="n">
        <f aca="false">(E12+E13+E14+E15+E16+E17+E18+E19+E20+E21+E22)/E29</f>
        <v>13598.3738730159</v>
      </c>
      <c r="K12" s="43" t="n">
        <v>19</v>
      </c>
      <c r="L12" s="53" t="n">
        <f aca="false">J12*K12</f>
        <v>258369.103587302</v>
      </c>
      <c r="O12" s="58" t="n">
        <f aca="false">+G12/$G$29*$O$29</f>
        <v>2857.17736507937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'[16]Team Report'!BA28</f>
        <v>238343.32</v>
      </c>
      <c r="E13" s="62" t="n">
        <f aca="false">((C13/9)*12)*1.4</f>
        <v>444907.530666667</v>
      </c>
      <c r="G13" s="58" t="n">
        <f aca="false">(E13/$E$29)*$G$29-19151</f>
        <v>55000.2551111111</v>
      </c>
      <c r="I13" s="82"/>
      <c r="L13" s="53"/>
      <c r="O13" s="58" t="n">
        <f aca="false">+G13/$G$29*$O$29</f>
        <v>3928.58965079365</v>
      </c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v>0</v>
      </c>
      <c r="E14" s="62" t="n">
        <f aca="false">(C14/9)*12</f>
        <v>0</v>
      </c>
      <c r="G14" s="58" t="n">
        <f aca="false">(E14/$E$29)*$G$29+80000</f>
        <v>80000</v>
      </c>
      <c r="I14" s="87" t="s">
        <v>105</v>
      </c>
      <c r="J14" s="64"/>
      <c r="K14" s="64"/>
      <c r="L14" s="65" t="n">
        <f aca="false">SUM(L9:L12)</f>
        <v>1707009.1035873</v>
      </c>
      <c r="N14" s="0" t="n">
        <v>2206762</v>
      </c>
      <c r="O14" s="58" t="n">
        <f aca="false">+G14/$G$29*$O$29</f>
        <v>5714.28571428572</v>
      </c>
      <c r="P14" s="60" t="n">
        <f aca="false">N14-L14</f>
        <v>499752.896412698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'[16]Team Report'!BA33</f>
        <v>93641.7</v>
      </c>
      <c r="E15" s="62" t="n">
        <f aca="false">((C15/9)*12)*1.4</f>
        <v>174797.84</v>
      </c>
      <c r="G15" s="58" t="n">
        <f aca="false">(E15/$E$29)*$G$29</f>
        <v>29132.9733333333</v>
      </c>
      <c r="I15" s="21"/>
      <c r="O15" s="58" t="n">
        <f aca="false">+G15/$G$29*$O$29</f>
        <v>2080.92666666667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'[16]Team Report'!BA34</f>
        <v>0</v>
      </c>
      <c r="E16" s="62" t="n">
        <f aca="false">(C16/9)*12</f>
        <v>0</v>
      </c>
      <c r="G16" s="58" t="n">
        <f aca="false">(E16/$E$29)*$G$29</f>
        <v>0</v>
      </c>
      <c r="I16" s="21"/>
      <c r="O16" s="58" t="n">
        <f aca="false">+G16/$G$29*$O$29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'[16]Team Report'!BA35</f>
        <v>0</v>
      </c>
      <c r="E17" s="62" t="n">
        <f aca="false">(C17/9)*12</f>
        <v>0</v>
      </c>
      <c r="G17" s="58" t="n">
        <f aca="false">(E17/$E$29)*$G$29</f>
        <v>0</v>
      </c>
      <c r="I17" s="21" t="s">
        <v>177</v>
      </c>
      <c r="J17" s="43" t="n">
        <v>30000</v>
      </c>
      <c r="K17" s="43" t="n">
        <f aca="false">H17*J17</f>
        <v>0</v>
      </c>
      <c r="L17" s="43" t="n">
        <f aca="false">J17*K17</f>
        <v>0</v>
      </c>
      <c r="O17" s="58" t="n">
        <f aca="false">+G17/$G$29*$O$29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'[16]Team Report'!BA36</f>
        <v>3626.4</v>
      </c>
      <c r="E18" s="62" t="n">
        <f aca="false">((C18/9)*12)*1.4</f>
        <v>6769.28</v>
      </c>
      <c r="G18" s="58" t="n">
        <f aca="false">(E18/$E$29)*$G$29</f>
        <v>1128.21333333333</v>
      </c>
      <c r="I18" s="0" t="s">
        <v>220</v>
      </c>
      <c r="J18" s="43" t="n">
        <f aca="false">40000*1.2</f>
        <v>48000</v>
      </c>
      <c r="K18" s="43" t="n">
        <v>1</v>
      </c>
      <c r="L18" s="43" t="n">
        <f aca="false">J18*K18</f>
        <v>48000</v>
      </c>
      <c r="O18" s="58" t="n">
        <f aca="false">+G18/$G$29*$O$29</f>
        <v>80.5866666666667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'[16]Team Report'!BA37</f>
        <v>121524.64</v>
      </c>
      <c r="E19" s="62" t="n">
        <f aca="false">((C19/9)*12)*1.6+21500</f>
        <v>280752.565333333</v>
      </c>
      <c r="G19" s="58" t="n">
        <f aca="false">(E19/$E$29)*$G$29</f>
        <v>46792.0942222222</v>
      </c>
      <c r="I19" s="0" t="s">
        <v>118</v>
      </c>
      <c r="J19" s="43" t="n">
        <v>41000</v>
      </c>
      <c r="K19" s="43" t="n">
        <f aca="false">H19*J19</f>
        <v>0</v>
      </c>
      <c r="L19" s="43" t="n">
        <f aca="false">J19*K19</f>
        <v>0</v>
      </c>
      <c r="O19" s="58" t="n">
        <f aca="false">+G19/$G$29*$O$29</f>
        <v>3342.29244444445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'[16]Team Report'!BA38</f>
        <v>1258.2</v>
      </c>
      <c r="E20" s="62" t="n">
        <f aca="false">((C20/9)*12)*1.2</f>
        <v>2013.12</v>
      </c>
      <c r="G20" s="58" t="n">
        <f aca="false">(E20/$E$29)*$G$29-336</f>
        <v>-0.479999999999961</v>
      </c>
      <c r="I20" s="0" t="s">
        <v>221</v>
      </c>
      <c r="J20" s="43" t="n">
        <f aca="false">48000*1.2</f>
        <v>57600</v>
      </c>
      <c r="K20" s="43" t="n">
        <v>1</v>
      </c>
      <c r="L20" s="43" t="n">
        <f aca="false">J20*K20</f>
        <v>57600</v>
      </c>
      <c r="O20" s="58" t="n">
        <f aca="false">+G20/$G$29*$O$29</f>
        <v>-0.0342857142857115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'[16]Team Report'!BA42</f>
        <v>33298.46</v>
      </c>
      <c r="E21" s="62" t="n">
        <f aca="false">((C21/9)*12)*1.6</f>
        <v>71036.7146666667</v>
      </c>
      <c r="G21" s="58" t="n">
        <f aca="false">(E21/$E$29)*$G$29+7698</f>
        <v>19537.4524444444</v>
      </c>
      <c r="I21" s="0" t="s">
        <v>130</v>
      </c>
      <c r="J21" s="43" t="n">
        <f aca="false">60000*1.2</f>
        <v>72000</v>
      </c>
      <c r="K21" s="43" t="n">
        <v>2</v>
      </c>
      <c r="L21" s="43" t="n">
        <f aca="false">J21*K21</f>
        <v>144000</v>
      </c>
      <c r="O21" s="58" t="n">
        <f aca="false">+G21/$G$29*$O$29</f>
        <v>1395.53231746032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'[16]Team Report'!BA44</f>
        <v>1737.16</v>
      </c>
      <c r="E22" s="62" t="n">
        <f aca="false">((C22/9)*12)*1.2</f>
        <v>2779.456</v>
      </c>
      <c r="G22" s="58" t="n">
        <f aca="false">(E22/$E$29)*$G$29</f>
        <v>463.242666666667</v>
      </c>
      <c r="I22" s="0" t="s">
        <v>121</v>
      </c>
      <c r="J22" s="43" t="n">
        <f aca="false">52000*1.2</f>
        <v>62400</v>
      </c>
      <c r="K22" s="43" t="n">
        <v>3</v>
      </c>
      <c r="L22" s="43" t="n">
        <f aca="false">J22*K22</f>
        <v>187200</v>
      </c>
      <c r="O22" s="58" t="n">
        <f aca="false">+G22/$G$29*$O$29</f>
        <v>33.0887619047619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4836935.05</v>
      </c>
      <c r="E23" s="68" t="n">
        <f aca="false">SUM(E8:E22)</f>
        <v>7169884.41866667</v>
      </c>
      <c r="G23" s="68" t="n">
        <f aca="false">SUM(G8:G22)</f>
        <v>2075454.23422222</v>
      </c>
      <c r="I23" s="0" t="s">
        <v>241</v>
      </c>
      <c r="J23" s="43" t="n">
        <f aca="false">62000*1.2</f>
        <v>74400</v>
      </c>
      <c r="K23" s="43" t="n">
        <v>1</v>
      </c>
      <c r="L23" s="43" t="n">
        <f aca="false">J23*K23</f>
        <v>74400</v>
      </c>
      <c r="O23" s="68" t="n">
        <f aca="false">SUM(O8:O22)</f>
        <v>148246.731015873</v>
      </c>
    </row>
    <row r="24" customFormat="false" ht="12.75" hidden="false" customHeight="false" outlineLevel="0" collapsed="false">
      <c r="I24" s="0" t="s">
        <v>223</v>
      </c>
      <c r="J24" s="43" t="n">
        <f aca="false">75000*1.2</f>
        <v>90000</v>
      </c>
      <c r="K24" s="43" t="n">
        <v>4</v>
      </c>
      <c r="L24" s="43" t="n">
        <f aca="false">J24*K24</f>
        <v>360000</v>
      </c>
    </row>
    <row r="25" customFormat="false" ht="12.75" hidden="false" customHeight="false" outlineLevel="0" collapsed="false">
      <c r="B25" s="67" t="s">
        <v>9</v>
      </c>
      <c r="C25" s="101"/>
      <c r="E25" s="101" t="n">
        <v>84</v>
      </c>
      <c r="G25" s="102" t="n">
        <f aca="false">SUM(K17:K19,K22:K28)</f>
        <v>11</v>
      </c>
      <c r="I25" s="0" t="s">
        <v>224</v>
      </c>
      <c r="J25" s="43" t="n">
        <f aca="false">100000*1.2</f>
        <v>120000</v>
      </c>
      <c r="K25" s="43" t="n">
        <v>1</v>
      </c>
      <c r="L25" s="43" t="n">
        <f aca="false">J25*K25</f>
        <v>120000</v>
      </c>
      <c r="O25" s="71" t="n">
        <f aca="false">SUM(U16:U20,U23:U27)</f>
        <v>0</v>
      </c>
    </row>
    <row r="26" customFormat="false" ht="12.75" hidden="false" customHeight="false" outlineLevel="0" collapsed="false">
      <c r="I26" s="0" t="s">
        <v>249</v>
      </c>
      <c r="J26" s="43" t="n">
        <f aca="false">149000*1.2</f>
        <v>178800</v>
      </c>
      <c r="K26" s="43" t="n">
        <f aca="false">H25*J26</f>
        <v>0</v>
      </c>
      <c r="L26" s="43" t="n">
        <f aca="false">J26*K26</f>
        <v>0</v>
      </c>
      <c r="O26" s="58"/>
    </row>
    <row r="27" customFormat="false" ht="12.75" hidden="false" customHeight="false" outlineLevel="0" collapsed="false">
      <c r="B27" s="67" t="s">
        <v>137</v>
      </c>
      <c r="C27" s="101"/>
      <c r="E27" s="101"/>
      <c r="G27" s="102" t="n">
        <f aca="false">SUM(K20:K21)</f>
        <v>3</v>
      </c>
      <c r="I27" s="0" t="s">
        <v>226</v>
      </c>
      <c r="J27" s="43" t="n">
        <f aca="false">180000*1.2</f>
        <v>216000</v>
      </c>
      <c r="K27" s="43" t="n">
        <v>1</v>
      </c>
      <c r="L27" s="43" t="n">
        <f aca="false">J27*K27</f>
        <v>216000</v>
      </c>
      <c r="O27" s="71" t="n">
        <f aca="false">+U21+U22</f>
        <v>0</v>
      </c>
    </row>
    <row r="28" customFormat="false" ht="12.75" hidden="false" customHeight="false" outlineLevel="0" collapsed="false">
      <c r="I28" s="0" t="s">
        <v>227</v>
      </c>
      <c r="J28" s="43" t="n">
        <f aca="false">260000*1.2</f>
        <v>312000</v>
      </c>
      <c r="K28" s="43" t="n">
        <f aca="false">H27*J28</f>
        <v>0</v>
      </c>
      <c r="L28" s="43" t="n">
        <f aca="false">J28*K28</f>
        <v>0</v>
      </c>
    </row>
    <row r="29" customFormat="false" ht="12.75" hidden="false" customHeight="false" outlineLevel="0" collapsed="false">
      <c r="B29" s="67" t="s">
        <v>139</v>
      </c>
      <c r="C29" s="101"/>
      <c r="E29" s="101" t="n">
        <f aca="false">SUM(E25:E28)</f>
        <v>84</v>
      </c>
      <c r="G29" s="101" t="n">
        <f aca="false">SUM(G25:G28)</f>
        <v>14</v>
      </c>
      <c r="K29" s="43" t="n">
        <f aca="false">SUM(K17:K28)</f>
        <v>14</v>
      </c>
      <c r="L29" s="43" t="n">
        <f aca="false">SUM(L17:L28)</f>
        <v>1207200</v>
      </c>
      <c r="O29" s="71" t="n">
        <v>1</v>
      </c>
    </row>
    <row r="30" customFormat="false" ht="12.75" hidden="false" customHeight="false" outlineLevel="0" collapsed="false">
      <c r="B30" s="67"/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'[16]Team Report'!BA29</f>
        <v>0</v>
      </c>
      <c r="E31" s="58" t="n">
        <f aca="false">(C31/9)*12</f>
        <v>0</v>
      </c>
      <c r="I31" s="0" t="s">
        <v>228</v>
      </c>
      <c r="K31" s="72"/>
      <c r="L31" s="72" t="n">
        <v>0.2</v>
      </c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'[16]Team Report'!BA30</f>
        <v>0</v>
      </c>
      <c r="E32" s="58" t="n">
        <f aca="false">(C32/9)*12</f>
        <v>0</v>
      </c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'[16]Team Report'!BA31</f>
        <v>0</v>
      </c>
      <c r="E33" s="58" t="n">
        <f aca="false">(C33/9)*12</f>
        <v>0</v>
      </c>
      <c r="L33" s="43" t="n">
        <f aca="false">L29*1.2</f>
        <v>1448640</v>
      </c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'[16]Team Report'!BA39</f>
        <v>0</v>
      </c>
      <c r="E34" s="58" t="n">
        <f aca="false">(C34/9)*12</f>
        <v>0</v>
      </c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'[16]Team Report'!BA40</f>
        <v>77797.27</v>
      </c>
      <c r="E35" s="58" t="n">
        <f aca="false">(C35/9)*12</f>
        <v>103729.693333333</v>
      </c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'[16]Team Report'!BA41</f>
        <v>677124.54</v>
      </c>
      <c r="E36" s="58" t="n">
        <f aca="false">(C36/9)*12</f>
        <v>902832.72</v>
      </c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'[16]Team Report'!BA43</f>
        <v>-1637349.75</v>
      </c>
      <c r="E37" s="58" t="n">
        <f aca="false">(C37/9)*12</f>
        <v>-2183133</v>
      </c>
      <c r="H37" s="16" t="s">
        <v>140</v>
      </c>
      <c r="I37" s="43"/>
      <c r="L37" s="0"/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'[16]Team Report'!BA45</f>
        <v>15745.09</v>
      </c>
      <c r="E38" s="58" t="n">
        <f aca="false">(C38/9)*12</f>
        <v>20993.4533333333</v>
      </c>
      <c r="I38" s="43"/>
      <c r="L38" s="0"/>
    </row>
    <row r="39" customFormat="false" ht="12.75" hidden="true" customHeight="false" outlineLevel="0" collapsed="false">
      <c r="A39" s="116" t="s">
        <v>106</v>
      </c>
      <c r="B39" s="57" t="s">
        <v>107</v>
      </c>
      <c r="C39" s="58" t="n">
        <v>180700.52</v>
      </c>
      <c r="E39" s="58" t="n">
        <v>240934.026666667</v>
      </c>
      <c r="H39" s="73" t="s">
        <v>141</v>
      </c>
      <c r="I39" s="74" t="s">
        <v>142</v>
      </c>
      <c r="J39" s="74" t="s">
        <v>143</v>
      </c>
      <c r="K39" s="74" t="s">
        <v>86</v>
      </c>
      <c r="L39" s="74" t="s">
        <v>144</v>
      </c>
    </row>
    <row r="40" customFormat="false" ht="12.75" hidden="true" customHeight="false" outlineLevel="0" collapsed="false">
      <c r="H40" s="75" t="n">
        <f aca="false">SUM(E12:E22)</f>
        <v>1142263.40533333</v>
      </c>
      <c r="I40" s="103" t="n">
        <f aca="false">+E29</f>
        <v>84</v>
      </c>
      <c r="J40" s="74" t="n">
        <f aca="false">+H40/I40</f>
        <v>13598.3738730159</v>
      </c>
      <c r="K40" s="103" t="n">
        <f aca="false">+K12</f>
        <v>19</v>
      </c>
      <c r="L40" s="74" t="n">
        <f aca="false">+J40*K40</f>
        <v>258369.103587302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96" t="n">
        <f aca="false">C23+C31+C32+C33+C34+C35+C36+C37+C38</f>
        <v>3970252.2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43" width="10.41"/>
    <col collapsed="false" customWidth="true" hidden="true" outlineLevel="0" max="12" min="12" style="43" width="10.85"/>
    <col collapsed="false" customWidth="true" hidden="true" outlineLevel="0" max="13" min="13" style="43" width="11.42"/>
    <col collapsed="false" customWidth="true" hidden="true" outlineLevel="0" max="16" min="14" style="0" width="9.14"/>
    <col collapsed="false" customWidth="false" hidden="true" outlineLevel="0" max="49" min="17" style="0" width="9.06"/>
  </cols>
  <sheetData>
    <row r="1" customFormat="false" ht="18" hidden="false" customHeight="false" outlineLevel="0" collapsed="false">
      <c r="B1" s="44" t="str">
        <f aca="false">'[17]Team Report'!B1</f>
        <v>Enron North America</v>
      </c>
      <c r="C1" s="44"/>
      <c r="D1" s="44"/>
      <c r="E1" s="44"/>
      <c r="F1" s="44"/>
      <c r="G1" s="44"/>
      <c r="H1" s="46"/>
      <c r="I1" s="46"/>
      <c r="J1" s="46"/>
      <c r="K1" s="45"/>
      <c r="L1" s="45"/>
      <c r="M1" s="45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customFormat="false" ht="18" hidden="false" customHeight="false" outlineLevel="0" collapsed="false">
      <c r="B2" s="44" t="s">
        <v>253</v>
      </c>
      <c r="C2" s="44"/>
      <c r="D2" s="44"/>
      <c r="E2" s="44"/>
      <c r="F2" s="44"/>
      <c r="G2" s="44"/>
      <c r="H2" s="46"/>
      <c r="I2" s="46"/>
      <c r="J2" s="46"/>
      <c r="K2" s="45"/>
      <c r="L2" s="45"/>
      <c r="M2" s="45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customFormat="false" ht="18" hidden="false" customHeight="false" outlineLevel="0" collapsed="false">
      <c r="B3" s="44" t="s">
        <v>5</v>
      </c>
      <c r="C3" s="44"/>
      <c r="D3" s="44"/>
      <c r="E3" s="44"/>
      <c r="F3" s="44"/>
      <c r="G3" s="44"/>
      <c r="H3" s="48"/>
      <c r="I3" s="48"/>
      <c r="J3" s="48"/>
      <c r="K3" s="45"/>
      <c r="L3" s="45"/>
      <c r="M3" s="45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customFormat="false" ht="13.5" hidden="false" customHeight="false" outlineLevel="0" collapsed="false">
      <c r="J4" s="97"/>
      <c r="K4" s="97"/>
      <c r="L4" s="97"/>
      <c r="M4" s="97"/>
    </row>
    <row r="5" customFormat="false" ht="12.75" hidden="false" customHeight="false" outlineLevel="0" collapsed="false">
      <c r="J5" s="79"/>
      <c r="K5" s="50"/>
      <c r="L5" s="50"/>
      <c r="M5" s="51"/>
    </row>
    <row r="6" customFormat="false" ht="12.75" hidden="false" customHeight="false" outlineLevel="0" collapsed="false">
      <c r="C6" s="54" t="n">
        <v>37135</v>
      </c>
      <c r="E6" s="94" t="n">
        <v>2001</v>
      </c>
      <c r="F6" s="94"/>
      <c r="G6" s="94" t="n">
        <v>2002</v>
      </c>
      <c r="J6" s="82"/>
      <c r="K6" s="74" t="s">
        <v>85</v>
      </c>
      <c r="L6" s="74" t="s">
        <v>86</v>
      </c>
      <c r="M6" s="98" t="s">
        <v>196</v>
      </c>
      <c r="O6" s="94" t="n">
        <v>2002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/>
      <c r="G7" s="55" t="s">
        <v>94</v>
      </c>
      <c r="J7" s="82"/>
      <c r="M7" s="5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99" t="n">
        <f aca="false">'[17]Team Report'!BA25</f>
        <v>10228335.79</v>
      </c>
      <c r="E8" s="58" t="n">
        <f aca="false">+C8/9*12</f>
        <v>13637781.0533333</v>
      </c>
      <c r="F8" s="58"/>
      <c r="G8" s="58" t="n">
        <f aca="false">SUM(M17:M28)+348000</f>
        <v>16582800</v>
      </c>
      <c r="J8" s="82"/>
      <c r="M8" s="53"/>
      <c r="O8" s="58" t="n">
        <f aca="false">+G8/$G$29*$O$29</f>
        <v>117608.510638298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+C9/9*12</f>
        <v>0</v>
      </c>
      <c r="F9" s="58"/>
      <c r="G9" s="58" t="n">
        <f aca="false">+E9/9*12</f>
        <v>0</v>
      </c>
      <c r="J9" s="82" t="s">
        <v>96</v>
      </c>
      <c r="K9" s="43" t="n">
        <v>0</v>
      </c>
      <c r="L9" s="43" t="n">
        <f aca="false">+L35</f>
        <v>140</v>
      </c>
      <c r="M9" s="53" t="n">
        <f aca="false">M35</f>
        <v>19481760</v>
      </c>
      <c r="O9" s="58" t="n">
        <f aca="false">+G9/$G$29*$O$29</f>
        <v>0</v>
      </c>
    </row>
    <row r="10" customFormat="false" ht="12.75" hidden="false" customHeight="false" outlineLevel="0" collapsed="false">
      <c r="A10" s="56"/>
      <c r="B10" s="57" t="s">
        <v>198</v>
      </c>
      <c r="C10" s="58" t="n">
        <v>0</v>
      </c>
      <c r="E10" s="58" t="n">
        <f aca="false">+C10/9*12</f>
        <v>0</v>
      </c>
      <c r="F10" s="58"/>
      <c r="G10" s="58" t="n">
        <f aca="false">+E10/9*12</f>
        <v>0</v>
      </c>
      <c r="J10" s="82"/>
      <c r="M10" s="53"/>
      <c r="O10" s="58" t="n">
        <f aca="false">+G10/$G$29*$O$29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'[17]Team Report'!BA26</f>
        <v>1877442.13</v>
      </c>
      <c r="E11" s="58" t="n">
        <f aca="false">+C11/9*12</f>
        <v>2503256.17333333</v>
      </c>
      <c r="F11" s="58"/>
      <c r="G11" s="58" t="n">
        <f aca="false">+G8*0.2</f>
        <v>3316560</v>
      </c>
      <c r="J11" s="82"/>
      <c r="M11" s="53"/>
      <c r="O11" s="58" t="n">
        <f aca="false">+G11/$G$29*$O$29</f>
        <v>23521.7021276596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'[17]Team Report'!BA27</f>
        <v>405632.98</v>
      </c>
      <c r="E12" s="58" t="n">
        <f aca="false">+C12/9*12</f>
        <v>540843.973333333</v>
      </c>
      <c r="F12" s="58"/>
      <c r="G12" s="58" t="n">
        <f aca="false">+'IT Dev'!G12+'IT EOL'!G12</f>
        <v>2204342</v>
      </c>
      <c r="J12" s="82" t="s">
        <v>67</v>
      </c>
      <c r="K12" s="43" t="n">
        <f aca="false">18495*1.2</f>
        <v>22194</v>
      </c>
      <c r="L12" s="43" t="n">
        <f aca="false">+L35</f>
        <v>140</v>
      </c>
      <c r="M12" s="53" t="n">
        <f aca="false">K12*L12</f>
        <v>3107160</v>
      </c>
      <c r="O12" s="58" t="n">
        <f aca="false">+G12/$G$29*$O$29</f>
        <v>15633.6312056738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'[17]Team Report'!BA28</f>
        <v>648740.17</v>
      </c>
      <c r="E13" s="58" t="n">
        <f aca="false">+C13/9*12</f>
        <v>864986.893333333</v>
      </c>
      <c r="F13" s="58"/>
      <c r="G13" s="58" t="n">
        <f aca="false">+'IT Dev'!G13+'IT EOL'!G13</f>
        <v>1196257.84</v>
      </c>
      <c r="J13" s="82"/>
      <c r="M13" s="53"/>
      <c r="O13" s="58" t="n">
        <f aca="false">+G13/$G$29*$O$29</f>
        <v>8484.09815602837</v>
      </c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v>0</v>
      </c>
      <c r="E14" s="58" t="n">
        <f aca="false">+C14/9*12</f>
        <v>0</v>
      </c>
      <c r="F14" s="58"/>
      <c r="G14" s="58" t="n">
        <f aca="false">+'IT Dev'!G14+'IT EOL'!G14</f>
        <v>0</v>
      </c>
      <c r="J14" s="87" t="s">
        <v>105</v>
      </c>
      <c r="K14" s="64"/>
      <c r="L14" s="64"/>
      <c r="M14" s="65" t="n">
        <f aca="false">SUM(M9:M12)</f>
        <v>22588920</v>
      </c>
      <c r="O14" s="58" t="n">
        <f aca="false">+G14/$G$29*$O$29</f>
        <v>0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'[17]Team Report'!BA33</f>
        <v>76876.32</v>
      </c>
      <c r="E15" s="58" t="n">
        <f aca="false">+C15/9*12</f>
        <v>102501.76</v>
      </c>
      <c r="F15" s="58"/>
      <c r="G15" s="58" t="n">
        <f aca="false">+'IT Dev'!G15+'IT EOL'!G15</f>
        <v>495389.44</v>
      </c>
      <c r="J15" s="21"/>
      <c r="O15" s="58" t="n">
        <f aca="false">+G15/$G$29*$O$29</f>
        <v>3513.40028368794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'[17]Team Report'!BA34</f>
        <v>0</v>
      </c>
      <c r="E16" s="58" t="n">
        <f aca="false">+C16/9*12</f>
        <v>0</v>
      </c>
      <c r="F16" s="58"/>
      <c r="G16" s="58" t="n">
        <f aca="false">+'IT Dev'!G16+'IT EOL'!G16</f>
        <v>0</v>
      </c>
      <c r="J16" s="21"/>
      <c r="L16" s="100"/>
      <c r="O16" s="58" t="n">
        <f aca="false">+G16/$G$29*$O$29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'[17]Team Report'!BA35</f>
        <v>0</v>
      </c>
      <c r="E17" s="58" t="n">
        <f aca="false">+C17/9*12</f>
        <v>0</v>
      </c>
      <c r="F17" s="58"/>
      <c r="G17" s="58" t="n">
        <f aca="false">+'IT Dev'!G17+'IT EOL'!G17</f>
        <v>0</v>
      </c>
      <c r="J17" s="0" t="s">
        <v>177</v>
      </c>
      <c r="K17" s="43" t="n">
        <v>49200</v>
      </c>
      <c r="L17" s="43" t="n">
        <f aca="false">+'IT Dev'!L17+'IT EOL'!L17</f>
        <v>0</v>
      </c>
      <c r="M17" s="43" t="n">
        <f aca="false">K17*L17</f>
        <v>0</v>
      </c>
      <c r="O17" s="58" t="n">
        <f aca="false">+G17/$G$29*$O$29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'[17]Team Report'!BA36</f>
        <v>5744.1</v>
      </c>
      <c r="E18" s="58" t="n">
        <f aca="false">+C18/9*12</f>
        <v>7658.8</v>
      </c>
      <c r="F18" s="58"/>
      <c r="G18" s="58" t="n">
        <f aca="false">+'IT Dev'!G18+'IT EOL'!G18</f>
        <v>0</v>
      </c>
      <c r="J18" s="0" t="s">
        <v>115</v>
      </c>
      <c r="K18" s="43" t="n">
        <v>57600</v>
      </c>
      <c r="L18" s="43" t="n">
        <v>3</v>
      </c>
      <c r="M18" s="43" t="n">
        <f aca="false">K18*L18</f>
        <v>172800</v>
      </c>
      <c r="O18" s="58" t="n">
        <f aca="false">+G18/$G$29*$O$29</f>
        <v>0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'[17]Team Report'!BA37</f>
        <v>67058.6</v>
      </c>
      <c r="E19" s="58" t="n">
        <f aca="false">+C19/9*12</f>
        <v>89411.4666666667</v>
      </c>
      <c r="F19" s="58"/>
      <c r="G19" s="58" t="n">
        <f aca="false">+'IT Dev'!G19+'IT EOL'!G19+2775700</f>
        <v>5600999.92</v>
      </c>
      <c r="J19" s="0" t="s">
        <v>118</v>
      </c>
      <c r="K19" s="43" t="n">
        <v>60000</v>
      </c>
      <c r="L19" s="43" t="n">
        <v>1</v>
      </c>
      <c r="M19" s="43" t="n">
        <f aca="false">K19*L19</f>
        <v>60000</v>
      </c>
      <c r="O19" s="58" t="n">
        <f aca="false">+G19/$G$29*$O$29</f>
        <v>39723.4036879433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'[17]Team Report'!BA38</f>
        <v>0</v>
      </c>
      <c r="E20" s="58" t="n">
        <f aca="false">+C20/9*12</f>
        <v>0</v>
      </c>
      <c r="F20" s="58"/>
      <c r="G20" s="58" t="n">
        <f aca="false">+'IT Dev'!G20+'IT EOL'!G20</f>
        <v>0</v>
      </c>
      <c r="J20" s="0" t="s">
        <v>121</v>
      </c>
      <c r="K20" s="43" t="n">
        <v>78000</v>
      </c>
      <c r="L20" s="43" t="n">
        <f aca="false">27+1</f>
        <v>28</v>
      </c>
      <c r="M20" s="43" t="n">
        <f aca="false">K20*L20</f>
        <v>2184000</v>
      </c>
      <c r="O20" s="58" t="n">
        <f aca="false">+G20/$G$29*$O$29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'[17]Team Report'!BA42</f>
        <v>842429.76</v>
      </c>
      <c r="E21" s="58" t="n">
        <f aca="false">+C21/9*12</f>
        <v>1123239.68</v>
      </c>
      <c r="F21" s="58"/>
      <c r="G21" s="58" t="n">
        <f aca="false">+'IT Dev'!G21+'IT EOL'!G21-7942105</f>
        <v>1845972.4</v>
      </c>
      <c r="J21" s="0" t="s">
        <v>124</v>
      </c>
      <c r="K21" s="43" t="n">
        <v>102000</v>
      </c>
      <c r="L21" s="43" t="n">
        <v>62</v>
      </c>
      <c r="M21" s="43" t="n">
        <f aca="false">K21*L21</f>
        <v>6324000</v>
      </c>
      <c r="O21" s="58" t="n">
        <f aca="false">+G21/$G$29*$O$29</f>
        <v>13092.0028368794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'[17]Team Report'!BA44</f>
        <v>6453.7</v>
      </c>
      <c r="E22" s="58" t="n">
        <f aca="false">+C22/9*12</f>
        <v>8604.93333333333</v>
      </c>
      <c r="F22" s="58"/>
      <c r="G22" s="58" t="n">
        <f aca="false">+'IT Dev'!G22+'IT EOL'!G22</f>
        <v>0</v>
      </c>
      <c r="J22" s="0" t="s">
        <v>254</v>
      </c>
      <c r="K22" s="43" t="n">
        <v>192000</v>
      </c>
      <c r="L22" s="43" t="n">
        <v>0</v>
      </c>
      <c r="M22" s="43" t="n">
        <f aca="false">K22*L22</f>
        <v>0</v>
      </c>
      <c r="O22" s="58" t="n">
        <f aca="false">+G22/$G$29*$O$29</f>
        <v>0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14158713.55</v>
      </c>
      <c r="E23" s="68" t="n">
        <f aca="false">SUM(E8:E22)</f>
        <v>18878284.7333333</v>
      </c>
      <c r="F23" s="70"/>
      <c r="G23" s="68" t="n">
        <f aca="false">SUM(G8:G22)</f>
        <v>31242321.6</v>
      </c>
      <c r="J23" s="0" t="s">
        <v>255</v>
      </c>
      <c r="K23" s="43" t="n">
        <v>192000</v>
      </c>
      <c r="L23" s="43" t="n">
        <v>0</v>
      </c>
      <c r="M23" s="43" t="n">
        <f aca="false">K23*L23</f>
        <v>0</v>
      </c>
      <c r="O23" s="68" t="n">
        <f aca="false">SUM(O8:O22)</f>
        <v>221576.74893617</v>
      </c>
    </row>
    <row r="24" customFormat="false" ht="12.75" hidden="false" customHeight="false" outlineLevel="0" collapsed="false">
      <c r="J24" s="0" t="s">
        <v>133</v>
      </c>
      <c r="K24" s="43" t="n">
        <v>144000</v>
      </c>
      <c r="L24" s="43" t="n">
        <v>28</v>
      </c>
      <c r="M24" s="43" t="n">
        <f aca="false">K24*L24</f>
        <v>4032000</v>
      </c>
    </row>
    <row r="25" customFormat="false" ht="12.75" hidden="false" customHeight="false" outlineLevel="0" collapsed="false">
      <c r="B25" s="67" t="s">
        <v>9</v>
      </c>
      <c r="C25" s="101"/>
      <c r="E25" s="101" t="n">
        <v>111</v>
      </c>
      <c r="F25" s="3" t="n">
        <v>40</v>
      </c>
      <c r="G25" s="102" t="n">
        <v>141</v>
      </c>
      <c r="J25" s="0" t="s">
        <v>134</v>
      </c>
      <c r="K25" s="43" t="n">
        <v>168000</v>
      </c>
      <c r="L25" s="43" t="n">
        <v>9</v>
      </c>
      <c r="M25" s="43" t="n">
        <f aca="false">K25*L25</f>
        <v>1512000</v>
      </c>
      <c r="O25" s="71" t="n">
        <f aca="false">SUM(U16:U20,U23:U27)</f>
        <v>0</v>
      </c>
    </row>
    <row r="26" customFormat="false" ht="12.75" hidden="false" customHeight="false" outlineLevel="0" collapsed="false">
      <c r="J26" s="0" t="s">
        <v>135</v>
      </c>
      <c r="K26" s="43" t="n">
        <v>216000</v>
      </c>
      <c r="L26" s="43" t="n">
        <v>8</v>
      </c>
      <c r="M26" s="43" t="n">
        <f aca="false">K26*L26</f>
        <v>1728000</v>
      </c>
      <c r="O26" s="58"/>
    </row>
    <row r="27" customFormat="false" ht="12.75" hidden="false" customHeight="false" outlineLevel="0" collapsed="false">
      <c r="B27" s="67" t="s">
        <v>137</v>
      </c>
      <c r="C27" s="101"/>
      <c r="E27" s="101"/>
      <c r="F27" s="3"/>
      <c r="G27" s="101"/>
      <c r="J27" s="0" t="s">
        <v>136</v>
      </c>
      <c r="K27" s="43" t="n">
        <v>222000</v>
      </c>
      <c r="L27" s="43" t="n">
        <v>1</v>
      </c>
      <c r="M27" s="43" t="n">
        <f aca="false">K27*L27</f>
        <v>222000</v>
      </c>
      <c r="O27" s="71" t="n">
        <f aca="false">+U21+U22</f>
        <v>0</v>
      </c>
    </row>
    <row r="28" customFormat="false" ht="12.75" hidden="false" customHeight="false" outlineLevel="0" collapsed="false">
      <c r="J28" s="0" t="s">
        <v>138</v>
      </c>
      <c r="K28" s="43" t="n">
        <v>300000</v>
      </c>
      <c r="L28" s="43" t="n">
        <f aca="false">+'IT Dev'!L28+'IT EOL'!L28</f>
        <v>0</v>
      </c>
      <c r="M28" s="43" t="n">
        <f aca="false">K28*L28</f>
        <v>0</v>
      </c>
    </row>
    <row r="29" customFormat="false" ht="12.75" hidden="false" customHeight="false" outlineLevel="0" collapsed="false">
      <c r="B29" s="67" t="s">
        <v>139</v>
      </c>
      <c r="C29" s="101"/>
      <c r="E29" s="101" t="n">
        <f aca="false">SUM(E25:E28)</f>
        <v>111</v>
      </c>
      <c r="F29" s="3"/>
      <c r="G29" s="101" t="n">
        <f aca="false">SUM(G25:G28)</f>
        <v>141</v>
      </c>
      <c r="L29" s="43" t="n">
        <f aca="false">SUM(L17:L28)</f>
        <v>140</v>
      </c>
      <c r="M29" s="43" t="n">
        <f aca="false">SUM(M17:M28)</f>
        <v>16234800</v>
      </c>
      <c r="O29" s="71" t="n">
        <v>1</v>
      </c>
    </row>
    <row r="30" customFormat="false" ht="12.75" hidden="false" customHeight="false" outlineLevel="0" collapsed="false">
      <c r="B30" s="67"/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'[17]Team Report'!BA29</f>
        <v>-24140467.68</v>
      </c>
      <c r="E31" s="58" t="n">
        <v>0</v>
      </c>
      <c r="F31" s="58"/>
      <c r="J31" s="0" t="s">
        <v>228</v>
      </c>
      <c r="L31" s="72"/>
      <c r="M31" s="72" t="n">
        <v>0.2</v>
      </c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'[17]Team Report'!BA30</f>
        <v>0</v>
      </c>
      <c r="E32" s="58" t="n">
        <f aca="false">(C32/9)*12</f>
        <v>0</v>
      </c>
      <c r="F32" s="58"/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'[17]Team Report'!BA31</f>
        <v>0</v>
      </c>
      <c r="E33" s="58" t="n">
        <f aca="false">(C33/9)*12</f>
        <v>0</v>
      </c>
      <c r="F33" s="58"/>
      <c r="J33" s="0" t="s">
        <v>238</v>
      </c>
      <c r="K33" s="43" t="n">
        <v>160000</v>
      </c>
      <c r="L33" s="43" t="n">
        <v>0</v>
      </c>
      <c r="M33" s="43" t="n">
        <f aca="false">K33*L33</f>
        <v>0</v>
      </c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'[17]Team Report'!BA39</f>
        <v>0</v>
      </c>
      <c r="E34" s="58" t="n">
        <f aca="false">(C34/9)*12</f>
        <v>0</v>
      </c>
      <c r="F34" s="58"/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'[17]Team Report'!BA40</f>
        <v>164920.93</v>
      </c>
      <c r="E35" s="58" t="n">
        <v>0</v>
      </c>
      <c r="F35" s="58"/>
      <c r="L35" s="43" t="n">
        <f aca="false">+L29+L33</f>
        <v>140</v>
      </c>
      <c r="M35" s="43" t="n">
        <f aca="false">M29*1.2+M33</f>
        <v>19481760</v>
      </c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'[17]Team Report'!BA41</f>
        <v>945381.27</v>
      </c>
      <c r="E36" s="58" t="n">
        <v>0</v>
      </c>
      <c r="F36" s="58"/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'[17]Team Report'!BA43</f>
        <v>-5121278.52</v>
      </c>
      <c r="E37" s="58" t="n">
        <v>0</v>
      </c>
      <c r="F37" s="58"/>
      <c r="I37" s="16" t="s">
        <v>140</v>
      </c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'[17]Team Report'!BA45</f>
        <v>0</v>
      </c>
      <c r="E38" s="58" t="n">
        <f aca="false">(C38/9)*12</f>
        <v>0</v>
      </c>
      <c r="F38" s="58"/>
    </row>
    <row r="39" customFormat="false" ht="12.75" hidden="true" customHeight="false" outlineLevel="0" collapsed="false">
      <c r="A39" s="56" t="s">
        <v>106</v>
      </c>
      <c r="B39" s="57" t="s">
        <v>107</v>
      </c>
      <c r="C39" s="58" t="n">
        <v>24143776.43</v>
      </c>
      <c r="E39" s="58" t="n">
        <v>0</v>
      </c>
      <c r="F39" s="58"/>
      <c r="I39" s="0" t="s">
        <v>239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96" t="n">
        <f aca="false">C23+C31+C32+C33+C34+C35+C36+C37+C38</f>
        <v>-13992730.45</v>
      </c>
    </row>
    <row r="46" customFormat="false" ht="12.75" hidden="false" customHeight="false" outlineLevel="0" collapsed="false">
      <c r="B46" s="57" t="s">
        <v>256</v>
      </c>
    </row>
    <row r="47" customFormat="false" ht="12.75" hidden="false" customHeight="false" outlineLevel="0" collapsed="false">
      <c r="B47" s="57" t="s">
        <v>257</v>
      </c>
    </row>
    <row r="48" customFormat="false" ht="12.75" hidden="false" customHeight="false" outlineLevel="0" collapsed="false">
      <c r="B48" s="57" t="s">
        <v>258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false" outlineLevel="0" max="14" min="14" style="0" width="20.99"/>
    <col collapsed="false" customWidth="true" hidden="false" outlineLevel="0" max="15" min="15" style="0" width="18.99"/>
    <col collapsed="false" customWidth="true" hidden="false" outlineLevel="0" max="16" min="16" style="0" width="28.41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146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Q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Q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f aca="false">L28-H10</f>
        <v>1062600</v>
      </c>
      <c r="I8" s="52" t="s">
        <v>96</v>
      </c>
      <c r="J8" s="43" t="n">
        <v>0</v>
      </c>
      <c r="L8" s="53" t="n">
        <f aca="false">L30</f>
        <v>1275120</v>
      </c>
      <c r="Q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8" t="n">
        <v>0</v>
      </c>
      <c r="G9" s="59" t="n">
        <f aca="false">E9/$E$23</f>
        <v>0</v>
      </c>
      <c r="H9" s="58" t="n">
        <v>0</v>
      </c>
      <c r="I9" s="52"/>
      <c r="L9" s="53"/>
      <c r="Q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8"/>
      <c r="E10" s="58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9" t="n">
        <f aca="false">E10/$E$23</f>
        <v>0.00377976191391553</v>
      </c>
      <c r="H10" s="58" t="n">
        <f aca="false">L21+L22</f>
        <v>0</v>
      </c>
      <c r="I10" s="52"/>
      <c r="L10" s="53"/>
      <c r="Q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L30-L28</f>
        <v>212520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7</v>
      </c>
      <c r="L11" s="53" t="n">
        <f aca="false">J11*K11</f>
        <v>337891.26875</v>
      </c>
      <c r="N11" s="61"/>
      <c r="O11" s="61"/>
      <c r="P11" s="61"/>
      <c r="Q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f aca="false">(E12/$E$29)*$K$11</f>
        <v>43137.31625</v>
      </c>
      <c r="I12" s="52"/>
      <c r="L12" s="53"/>
      <c r="N12" s="61"/>
      <c r="O12" s="61"/>
      <c r="P12" s="61"/>
      <c r="Q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v>15000</v>
      </c>
      <c r="I13" s="63" t="s">
        <v>105</v>
      </c>
      <c r="J13" s="64"/>
      <c r="K13" s="64"/>
      <c r="L13" s="65" t="n">
        <f aca="false">L8+L11</f>
        <v>1613011.26875</v>
      </c>
      <c r="N13" s="61"/>
      <c r="O13" s="61"/>
      <c r="P13" s="61"/>
      <c r="Q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f aca="false">(E14/$E$29)*$K$11</f>
        <v>0.0140000000011545</v>
      </c>
      <c r="N14" s="61"/>
      <c r="O14" s="61"/>
      <c r="P14" s="61"/>
      <c r="Q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f aca="false">(E15/$E$29)*$K$11</f>
        <v>6099.50833333333</v>
      </c>
      <c r="N15" s="61"/>
      <c r="O15" s="61"/>
      <c r="P15" s="61"/>
      <c r="Q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f aca="false">(E16/$E$29)*$K$11</f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N16" s="61"/>
      <c r="O16" s="61"/>
      <c r="P16" s="61"/>
      <c r="Q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f aca="false">(E17/$E$29)*$K$11</f>
        <v>344.166666666667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N17" s="61"/>
      <c r="O17" s="61"/>
      <c r="P17" s="61"/>
      <c r="Q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f aca="false">(E18/$E$29)*$K$11</f>
        <v>6250.70366666667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N18" s="61"/>
      <c r="O18" s="61"/>
      <c r="P18" s="61"/>
      <c r="Q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f aca="false">(E19/$E$29)*$K$11</f>
        <v>6370.602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Q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f aca="false">(E20/$E$29)*$K$11</f>
        <v>0.933333333333333</v>
      </c>
      <c r="I20" s="43" t="s">
        <v>124</v>
      </c>
      <c r="J20" s="43" t="n">
        <v>71500</v>
      </c>
      <c r="K20" s="43" t="n">
        <v>1</v>
      </c>
      <c r="L20" s="43" t="n">
        <f aca="false">J20*K20</f>
        <v>71500</v>
      </c>
      <c r="Q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f aca="false">(E21/$E$29)*$K$11</f>
        <v>7921.01974999999</v>
      </c>
      <c r="I21" s="43" t="s">
        <v>127</v>
      </c>
      <c r="J21" s="43" t="n">
        <v>60500</v>
      </c>
      <c r="K21" s="43" t="n">
        <v>0</v>
      </c>
      <c r="L21" s="43" t="n">
        <f aca="false">J21*K21</f>
        <v>0</v>
      </c>
      <c r="P21" s="21"/>
      <c r="Q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0</v>
      </c>
      <c r="L22" s="43" t="n">
        <f aca="false">J22*K22</f>
        <v>0</v>
      </c>
      <c r="P22" s="21"/>
      <c r="Q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1360244.264</v>
      </c>
      <c r="I23" s="43" t="s">
        <v>133</v>
      </c>
      <c r="J23" s="43" t="n">
        <v>110000</v>
      </c>
      <c r="K23" s="43" t="n">
        <v>3</v>
      </c>
      <c r="L23" s="43" t="n">
        <f aca="false">J23*K23</f>
        <v>330000</v>
      </c>
      <c r="P23" s="21"/>
      <c r="Q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2</v>
      </c>
      <c r="L24" s="43" t="n">
        <f aca="false">J24*K24</f>
        <v>286000</v>
      </c>
      <c r="P24" s="21"/>
      <c r="Q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1" t="n">
        <f aca="false">+K16+K17+K18+K19+K20+K23+K24+K25+K26+K27</f>
        <v>7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P25" s="21"/>
      <c r="Q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1</v>
      </c>
      <c r="L26" s="43" t="n">
        <f aca="false">J26*K26</f>
        <v>198000</v>
      </c>
      <c r="P26" s="21"/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1" t="n">
        <f aca="false">+K21+K22</f>
        <v>0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P27" s="21"/>
      <c r="Q27" s="58"/>
    </row>
    <row r="28" customFormat="false" ht="12.75" hidden="false" customHeight="false" outlineLevel="0" collapsed="false">
      <c r="K28" s="43" t="n">
        <f aca="false">SUM(K16:K27)</f>
        <v>7</v>
      </c>
      <c r="L28" s="43" t="n">
        <f aca="false">SUM(L16:L27)*1.2</f>
        <v>1062600</v>
      </c>
      <c r="P28" s="21"/>
      <c r="Q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7</v>
      </c>
      <c r="L29" s="72" t="n">
        <v>0.2</v>
      </c>
      <c r="P29" s="21"/>
      <c r="Q29" s="58"/>
    </row>
    <row r="30" customFormat="false" ht="12.75" hidden="true" customHeight="false" outlineLevel="0" collapsed="false">
      <c r="L30" s="43" t="n">
        <f aca="false">L28*1.2</f>
        <v>1275120</v>
      </c>
      <c r="P30" s="21"/>
      <c r="Q30" s="21"/>
    </row>
    <row r="31" customFormat="false" ht="12.75" hidden="true" customHeight="false" outlineLevel="0" collapsed="false">
      <c r="H31" s="16" t="s">
        <v>140</v>
      </c>
      <c r="L31" s="0"/>
      <c r="P31" s="21"/>
      <c r="Q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P32" s="21"/>
      <c r="Q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P33" s="21"/>
      <c r="Q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7</v>
      </c>
      <c r="L34" s="74" t="n">
        <f aca="false">+J34*K34</f>
        <v>337891.26875</v>
      </c>
      <c r="P34" s="21"/>
      <c r="Q34" s="21"/>
    </row>
    <row r="35" customFormat="false" ht="12.75" hidden="true" customHeight="false" outlineLevel="0" collapsed="false">
      <c r="P35" s="21"/>
      <c r="Q35" s="21"/>
    </row>
    <row r="36" customFormat="false" ht="12.75" hidden="true" customHeight="false" outlineLevel="0" collapsed="false">
      <c r="P36" s="21"/>
      <c r="Q36" s="21"/>
    </row>
    <row r="37" customFormat="false" ht="12.75" hidden="true" customHeight="false" outlineLevel="0" collapsed="false">
      <c r="P37" s="21"/>
      <c r="Q37" s="21"/>
    </row>
    <row r="38" customFormat="false" ht="12.75" hidden="true" customHeight="false" outlineLevel="0" collapsed="false">
      <c r="P38" s="21"/>
      <c r="Q38" s="21"/>
    </row>
    <row r="39" customFormat="false" ht="12.75" hidden="false" customHeight="false" outlineLevel="0" collapsed="false">
      <c r="P39" s="21"/>
      <c r="Q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1.85"/>
    <col collapsed="false" customWidth="true" hidden="true" outlineLevel="0" max="5" min="5" style="0" width="13.85"/>
    <col collapsed="false" customWidth="true" hidden="true" outlineLevel="0" max="7" min="6" style="0" width="2.28"/>
    <col collapsed="false" customWidth="true" hidden="false" outlineLevel="0" max="8" min="8" style="0" width="12.99"/>
    <col collapsed="false" customWidth="false" hidden="true" outlineLevel="0" max="9" min="9" style="0" width="9.06"/>
    <col collapsed="false" customWidth="true" hidden="true" outlineLevel="0" max="10" min="10" style="0" width="19.41"/>
    <col collapsed="false" customWidth="true" hidden="true" outlineLevel="0" max="11" min="11" style="43" width="10.41"/>
    <col collapsed="false" customWidth="true" hidden="true" outlineLevel="0" max="12" min="12" style="43" width="10.85"/>
    <col collapsed="false" customWidth="true" hidden="true" outlineLevel="0" max="13" min="13" style="43" width="11.42"/>
    <col collapsed="false" customWidth="false" hidden="true" outlineLevel="0" max="50" min="14" style="0" width="9.06"/>
  </cols>
  <sheetData>
    <row r="1" customFormat="false" ht="18" hidden="false" customHeight="false" outlineLevel="0" collapsed="false">
      <c r="B1" s="44" t="str">
        <f aca="false">'[18]Team Report'!B1</f>
        <v>Enron North America</v>
      </c>
      <c r="C1" s="44"/>
      <c r="D1" s="44"/>
      <c r="E1" s="44"/>
      <c r="F1" s="44"/>
      <c r="G1" s="44"/>
      <c r="H1" s="44"/>
      <c r="I1" s="46"/>
      <c r="J1" s="46"/>
      <c r="K1" s="45"/>
      <c r="L1" s="45"/>
      <c r="M1" s="45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customFormat="false" ht="18" hidden="false" customHeight="false" outlineLevel="0" collapsed="false">
      <c r="B2" s="44" t="str">
        <f aca="false">"IT Infrastructure"</f>
        <v>IT Infrastructure</v>
      </c>
      <c r="C2" s="44"/>
      <c r="D2" s="44"/>
      <c r="E2" s="44"/>
      <c r="F2" s="44"/>
      <c r="G2" s="44"/>
      <c r="H2" s="44"/>
      <c r="I2" s="46"/>
      <c r="J2" s="46"/>
      <c r="K2" s="45"/>
      <c r="L2" s="45"/>
      <c r="M2" s="45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customFormat="false" ht="18" hidden="false" customHeight="false" outlineLevel="0" collapsed="false">
      <c r="B3" s="44" t="s">
        <v>5</v>
      </c>
      <c r="C3" s="44"/>
      <c r="D3" s="44"/>
      <c r="E3" s="44"/>
      <c r="F3" s="44"/>
      <c r="G3" s="44"/>
      <c r="H3" s="44"/>
      <c r="I3" s="48"/>
      <c r="J3" s="48"/>
      <c r="K3" s="45"/>
      <c r="L3" s="45"/>
      <c r="M3" s="45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customFormat="false" ht="13.5" hidden="false" customHeight="false" outlineLevel="0" collapsed="false">
      <c r="J4" s="97"/>
      <c r="K4" s="97"/>
      <c r="L4" s="97"/>
      <c r="M4" s="97"/>
    </row>
    <row r="5" customFormat="false" ht="12.75" hidden="false" customHeight="false" outlineLevel="0" collapsed="false">
      <c r="J5" s="79"/>
      <c r="K5" s="50"/>
      <c r="L5" s="50"/>
      <c r="M5" s="51"/>
    </row>
    <row r="6" customFormat="false" ht="12.75" hidden="false" customHeight="false" outlineLevel="0" collapsed="false">
      <c r="C6" s="54" t="n">
        <v>37135</v>
      </c>
      <c r="E6" s="94" t="n">
        <v>2001</v>
      </c>
      <c r="H6" s="94" t="n">
        <v>2002</v>
      </c>
      <c r="J6" s="82"/>
      <c r="K6" s="74" t="s">
        <v>85</v>
      </c>
      <c r="L6" s="74" t="s">
        <v>86</v>
      </c>
      <c r="M6" s="98" t="s">
        <v>196</v>
      </c>
      <c r="Q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H7" s="55" t="s">
        <v>94</v>
      </c>
      <c r="J7" s="82"/>
      <c r="M7" s="53"/>
      <c r="Q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99" t="n">
        <f aca="false">'[18]Team Report'!BA25</f>
        <v>10228335.79</v>
      </c>
      <c r="E8" s="58" t="n">
        <f aca="false">+C8/9*12</f>
        <v>13637781.0533333</v>
      </c>
      <c r="H8" s="58" t="n">
        <f aca="false">+M29</f>
        <v>7011600</v>
      </c>
      <c r="J8" s="82"/>
      <c r="M8" s="53"/>
      <c r="Q8" s="58" t="n">
        <f aca="false">+H8/$H$29*$Q$29</f>
        <v>118840.677966102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(C9/9)*12</f>
        <v>0</v>
      </c>
      <c r="H9" s="58" t="n">
        <f aca="false">(F9/9)*12</f>
        <v>0</v>
      </c>
      <c r="J9" s="82" t="s">
        <v>96</v>
      </c>
      <c r="K9" s="43" t="n">
        <v>0</v>
      </c>
      <c r="L9" s="43" t="n">
        <f aca="false">+L35</f>
        <v>67</v>
      </c>
      <c r="M9" s="53" t="n">
        <f aca="false">M35</f>
        <v>9949920</v>
      </c>
      <c r="Q9" s="58" t="n">
        <f aca="false">+H9/$H$29*$Q$29</f>
        <v>0</v>
      </c>
    </row>
    <row r="10" customFormat="false" ht="12.75" hidden="true" customHeight="false" outlineLevel="0" collapsed="false">
      <c r="A10" s="56"/>
      <c r="B10" s="57" t="s">
        <v>246</v>
      </c>
      <c r="C10" s="58" t="n">
        <v>0</v>
      </c>
      <c r="E10" s="58" t="n">
        <f aca="false">(C10/9)*12</f>
        <v>0</v>
      </c>
      <c r="H10" s="58" t="n">
        <f aca="false">(F10/9)*12</f>
        <v>0</v>
      </c>
      <c r="J10" s="82"/>
      <c r="M10" s="53"/>
      <c r="Q10" s="58" t="n">
        <f aca="false">+H10/$H$29*$Q$29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'[18]Team Report'!BA26</f>
        <v>1877442.13</v>
      </c>
      <c r="E11" s="58" t="n">
        <f aca="false">(C11/9)*12</f>
        <v>2503256.17333333</v>
      </c>
      <c r="H11" s="58" t="n">
        <f aca="false">+H8*0.2</f>
        <v>1402320</v>
      </c>
      <c r="J11" s="82"/>
      <c r="M11" s="53"/>
      <c r="Q11" s="58" t="n">
        <f aca="false">+H11/$H$29*$Q$29</f>
        <v>23768.1355932203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'[18]Team Report'!BA27</f>
        <v>405632.98</v>
      </c>
      <c r="E12" s="58" t="n">
        <f aca="false">(C12/9)*12</f>
        <v>540843.973333333</v>
      </c>
      <c r="H12" s="58" t="n">
        <f aca="false">(2485728*0.35+1000000)*0.559633027522936</f>
        <v>1046516.44770642</v>
      </c>
      <c r="J12" s="82" t="s">
        <v>67</v>
      </c>
      <c r="K12" s="43" t="n">
        <f aca="false">18495*1.2</f>
        <v>22194</v>
      </c>
      <c r="L12" s="43" t="n">
        <f aca="false">+L35</f>
        <v>67</v>
      </c>
      <c r="M12" s="53" t="n">
        <f aca="false">K12*L12+32600125</f>
        <v>34087123</v>
      </c>
      <c r="Q12" s="58" t="n">
        <f aca="false">+H12/$H$29*$Q$29</f>
        <v>17737.5669102783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'[18]Team Report'!BA28</f>
        <v>648740.17</v>
      </c>
      <c r="E13" s="58" t="n">
        <f aca="false">(C13/9)*12</f>
        <v>864986.893333333</v>
      </c>
      <c r="H13" s="58" t="n">
        <f aca="false">(2485728*0.13+1000000)*0.559633027522936</f>
        <v>740475.440733945</v>
      </c>
      <c r="J13" s="82"/>
      <c r="M13" s="53"/>
      <c r="Q13" s="58" t="n">
        <f aca="false">+H13/$H$29*$Q$29</f>
        <v>12550.4311988804</v>
      </c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v>0</v>
      </c>
      <c r="E14" s="58" t="n">
        <f aca="false">(C14/9)*12</f>
        <v>0</v>
      </c>
      <c r="H14" s="58" t="n">
        <v>2000000</v>
      </c>
      <c r="J14" s="87" t="s">
        <v>105</v>
      </c>
      <c r="K14" s="64"/>
      <c r="L14" s="64"/>
      <c r="M14" s="65" t="n">
        <f aca="false">SUM(M9:M12)</f>
        <v>44037043</v>
      </c>
      <c r="Q14" s="58" t="n">
        <f aca="false">+H14/$H$29*$Q$29</f>
        <v>33898.3050847458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'[18]Team Report'!BA33</f>
        <v>76876.32</v>
      </c>
      <c r="E15" s="58" t="n">
        <f aca="false">(C15/9)*12</f>
        <v>102501.76</v>
      </c>
      <c r="H15" s="58" t="n">
        <f aca="false">(2485728*0.08+100000)*0.559633027522936</f>
        <v>167250.941651376</v>
      </c>
      <c r="J15" s="21"/>
      <c r="Q15" s="58" t="n">
        <f aca="false">+H15/$H$29*$Q$29</f>
        <v>2834.76172290468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'[18]Team Report'!BA34</f>
        <v>0</v>
      </c>
      <c r="E16" s="58" t="n">
        <f aca="false">(C16/9)*12</f>
        <v>0</v>
      </c>
      <c r="H16" s="58" t="n">
        <v>0</v>
      </c>
      <c r="J16" s="21"/>
      <c r="L16" s="100"/>
      <c r="Q16" s="58" t="n">
        <f aca="false">+H16/$H$29*$Q$29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'[18]Team Report'!BA35</f>
        <v>0</v>
      </c>
      <c r="E17" s="58" t="n">
        <f aca="false">(C17/9)*12</f>
        <v>0</v>
      </c>
      <c r="H17" s="58" t="n">
        <v>0</v>
      </c>
      <c r="J17" s="0" t="s">
        <v>177</v>
      </c>
      <c r="K17" s="43" t="n">
        <v>49200</v>
      </c>
      <c r="L17" s="43" t="n">
        <v>0</v>
      </c>
      <c r="M17" s="43" t="n">
        <f aca="false">K17*L17</f>
        <v>0</v>
      </c>
      <c r="Q17" s="58" t="n">
        <f aca="false">+H17/$H$29*$Q$29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'[18]Team Report'!BA36</f>
        <v>5744.1</v>
      </c>
      <c r="E18" s="58" t="n">
        <f aca="false">(C18/9)*12</f>
        <v>7658.8</v>
      </c>
      <c r="H18" s="58" t="n">
        <v>1936000</v>
      </c>
      <c r="J18" s="0" t="s">
        <v>115</v>
      </c>
      <c r="K18" s="43" t="n">
        <v>57600</v>
      </c>
      <c r="L18" s="43" t="n">
        <v>1</v>
      </c>
      <c r="M18" s="43" t="n">
        <f aca="false">K18*L18</f>
        <v>57600</v>
      </c>
      <c r="Q18" s="58" t="n">
        <f aca="false">+H18/$H$29*$Q$29</f>
        <v>32813.5593220339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'[18]Team Report'!BA37</f>
        <v>67058.6</v>
      </c>
      <c r="E19" s="58" t="n">
        <f aca="false">(C19/9)*12</f>
        <v>89411.4666666667</v>
      </c>
      <c r="H19" s="58" t="n">
        <f aca="false">(2485728*0.29+2500000)*0.559633027522936+3445700</f>
        <v>5248200.25981651</v>
      </c>
      <c r="J19" s="0" t="s">
        <v>118</v>
      </c>
      <c r="K19" s="43" t="n">
        <v>60000</v>
      </c>
      <c r="L19" s="43" t="n">
        <v>2</v>
      </c>
      <c r="M19" s="43" t="n">
        <f aca="false">K19*L19</f>
        <v>120000</v>
      </c>
      <c r="Q19" s="58" t="n">
        <f aca="false">+H19/$H$29*$Q$29</f>
        <v>88952.5467765511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'[18]Team Report'!BA38</f>
        <v>0</v>
      </c>
      <c r="E20" s="58" t="n">
        <f aca="false">(C20/9)*12</f>
        <v>0</v>
      </c>
      <c r="H20" s="58" t="n">
        <v>0</v>
      </c>
      <c r="J20" s="0" t="s">
        <v>121</v>
      </c>
      <c r="K20" s="43" t="n">
        <v>78000</v>
      </c>
      <c r="L20" s="43" t="n">
        <v>9</v>
      </c>
      <c r="M20" s="43" t="n">
        <f aca="false">K20*L20</f>
        <v>702000</v>
      </c>
      <c r="Q20" s="58" t="n">
        <f aca="false">+H20/$H$29*$Q$29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'[18]Team Report'!BA42</f>
        <v>842429.76</v>
      </c>
      <c r="E21" s="58" t="n">
        <f aca="false">(C21/9)*12+32600125</f>
        <v>33723364.68</v>
      </c>
      <c r="H21" s="58" t="n">
        <f aca="false">2485728*0.15+2500000+35100000-32660209</f>
        <v>5312650.2</v>
      </c>
      <c r="J21" s="0" t="s">
        <v>124</v>
      </c>
      <c r="K21" s="43" t="n">
        <v>102000</v>
      </c>
      <c r="L21" s="43" t="n">
        <v>25</v>
      </c>
      <c r="M21" s="43" t="n">
        <f aca="false">K21*L21</f>
        <v>2550000</v>
      </c>
      <c r="Q21" s="58" t="n">
        <f aca="false">+H21/$H$29*$Q$29</f>
        <v>90044.9186440679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'[18]Team Report'!BA44</f>
        <v>6453.7</v>
      </c>
      <c r="E22" s="58" t="n">
        <f aca="false">(C22/9)*12</f>
        <v>8604.93333333333</v>
      </c>
      <c r="H22" s="58" t="n">
        <f aca="false">(F22/9)*12</f>
        <v>0</v>
      </c>
      <c r="J22" s="0" t="s">
        <v>127</v>
      </c>
      <c r="K22" s="43" t="n">
        <v>0</v>
      </c>
      <c r="L22" s="43" t="n">
        <v>0</v>
      </c>
      <c r="M22" s="43" t="n">
        <f aca="false">K22*L22</f>
        <v>0</v>
      </c>
      <c r="Q22" s="58" t="n">
        <f aca="false">+H22/$H$29*$Q$29</f>
        <v>0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14158713.55</v>
      </c>
      <c r="E23" s="68" t="n">
        <f aca="false">SUM(E8:E22)</f>
        <v>51478409.7333333</v>
      </c>
      <c r="H23" s="68" t="n">
        <f aca="false">SUM(H8:H22)</f>
        <v>24865013.2899083</v>
      </c>
      <c r="J23" s="0" t="s">
        <v>255</v>
      </c>
      <c r="K23" s="43" t="n">
        <v>192000</v>
      </c>
      <c r="L23" s="43" t="n">
        <v>0</v>
      </c>
      <c r="M23" s="43" t="n">
        <f aca="false">K23*L23</f>
        <v>0</v>
      </c>
      <c r="Q23" s="68" t="n">
        <f aca="false">SUM(Q8:Q22)</f>
        <v>421440.903218784</v>
      </c>
    </row>
    <row r="24" customFormat="false" ht="12.75" hidden="false" customHeight="false" outlineLevel="0" collapsed="false">
      <c r="J24" s="0" t="s">
        <v>133</v>
      </c>
      <c r="K24" s="43" t="n">
        <v>144000</v>
      </c>
      <c r="L24" s="43" t="n">
        <v>15</v>
      </c>
      <c r="M24" s="43" t="n">
        <f aca="false">K24*L24</f>
        <v>2160000</v>
      </c>
    </row>
    <row r="25" customFormat="false" ht="12.75" hidden="false" customHeight="false" outlineLevel="0" collapsed="false">
      <c r="B25" s="67" t="s">
        <v>9</v>
      </c>
      <c r="C25" s="101"/>
      <c r="E25" s="101" t="n">
        <v>111</v>
      </c>
      <c r="F25" s="0" t="n">
        <v>40</v>
      </c>
      <c r="H25" s="102" t="n">
        <f aca="false">+L29-1</f>
        <v>58</v>
      </c>
      <c r="J25" s="0" t="s">
        <v>134</v>
      </c>
      <c r="K25" s="43" t="n">
        <v>168000</v>
      </c>
      <c r="L25" s="43" t="n">
        <v>2</v>
      </c>
      <c r="M25" s="43" t="n">
        <f aca="false">K25*L25</f>
        <v>336000</v>
      </c>
      <c r="Q25" s="71" t="n">
        <f aca="false">+T16+T17+T18+T19+T20+T23+T24+T25+T26+T27</f>
        <v>0</v>
      </c>
    </row>
    <row r="26" customFormat="false" ht="12.75" hidden="false" customHeight="false" outlineLevel="0" collapsed="false">
      <c r="J26" s="0" t="s">
        <v>135</v>
      </c>
      <c r="K26" s="43" t="n">
        <v>216000</v>
      </c>
      <c r="L26" s="43" t="n">
        <v>4</v>
      </c>
      <c r="M26" s="43" t="n">
        <f aca="false">K26*L26</f>
        <v>864000</v>
      </c>
      <c r="Q26" s="58"/>
    </row>
    <row r="27" customFormat="false" ht="12.75" hidden="false" customHeight="false" outlineLevel="0" collapsed="false">
      <c r="B27" s="67" t="s">
        <v>137</v>
      </c>
      <c r="C27" s="101"/>
      <c r="E27" s="101"/>
      <c r="H27" s="101" t="n">
        <v>1</v>
      </c>
      <c r="J27" s="0" t="s">
        <v>136</v>
      </c>
      <c r="K27" s="43" t="n">
        <v>222000</v>
      </c>
      <c r="L27" s="43" t="n">
        <v>1</v>
      </c>
      <c r="M27" s="43" t="n">
        <f aca="false">K27*L27</f>
        <v>222000</v>
      </c>
      <c r="Q27" s="71" t="n">
        <f aca="false">+T21+T22</f>
        <v>0</v>
      </c>
    </row>
    <row r="28" customFormat="false" ht="12.75" hidden="false" customHeight="false" outlineLevel="0" collapsed="false">
      <c r="J28" s="0" t="s">
        <v>138</v>
      </c>
      <c r="K28" s="43" t="n">
        <v>300000</v>
      </c>
      <c r="L28" s="43" t="n">
        <v>0</v>
      </c>
      <c r="M28" s="43" t="n">
        <f aca="false">K28*L28</f>
        <v>0</v>
      </c>
    </row>
    <row r="29" customFormat="false" ht="12.75" hidden="false" customHeight="false" outlineLevel="0" collapsed="false">
      <c r="B29" s="67" t="s">
        <v>139</v>
      </c>
      <c r="C29" s="101"/>
      <c r="E29" s="101" t="n">
        <f aca="false">SUM(E25:E28)</f>
        <v>111</v>
      </c>
      <c r="H29" s="101" t="n">
        <f aca="false">SUM(H25:H28)</f>
        <v>59</v>
      </c>
      <c r="L29" s="43" t="n">
        <f aca="false">SUM(L17:L28)</f>
        <v>59</v>
      </c>
      <c r="M29" s="43" t="n">
        <f aca="false">SUM(M17:M28)</f>
        <v>7011600</v>
      </c>
      <c r="Q29" s="71" t="n">
        <v>1</v>
      </c>
    </row>
    <row r="30" customFormat="false" ht="12.75" hidden="false" customHeight="false" outlineLevel="0" collapsed="false">
      <c r="B30" s="67"/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'[18]Team Report'!BA29</f>
        <v>-24140467.68</v>
      </c>
      <c r="E31" s="58" t="n">
        <v>0</v>
      </c>
      <c r="J31" s="0" t="s">
        <v>228</v>
      </c>
      <c r="L31" s="72"/>
      <c r="M31" s="72" t="n">
        <v>0.2</v>
      </c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'[18]Team Report'!BA30</f>
        <v>0</v>
      </c>
      <c r="E32" s="58" t="n">
        <f aca="false">(C32/9)*12</f>
        <v>0</v>
      </c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'[18]Team Report'!BA31</f>
        <v>0</v>
      </c>
      <c r="E33" s="58" t="n">
        <f aca="false">(C33/9)*12</f>
        <v>0</v>
      </c>
      <c r="J33" s="0" t="s">
        <v>238</v>
      </c>
      <c r="K33" s="43" t="n">
        <v>192000</v>
      </c>
      <c r="L33" s="43" t="n">
        <v>8</v>
      </c>
      <c r="M33" s="43" t="n">
        <f aca="false">K33*L33</f>
        <v>1536000</v>
      </c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'[18]Team Report'!BA39</f>
        <v>0</v>
      </c>
      <c r="E34" s="58" t="n">
        <f aca="false">(C34/9)*12</f>
        <v>0</v>
      </c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'[18]Team Report'!BA40</f>
        <v>164920.93</v>
      </c>
      <c r="E35" s="58" t="n">
        <v>0</v>
      </c>
      <c r="L35" s="43" t="n">
        <f aca="false">+L29+L33</f>
        <v>67</v>
      </c>
      <c r="M35" s="43" t="n">
        <f aca="false">M29*1.2+M33</f>
        <v>9949920</v>
      </c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'[18]Team Report'!BA41</f>
        <v>945381.27</v>
      </c>
      <c r="E36" s="58" t="n">
        <v>0</v>
      </c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'[18]Team Report'!BA43</f>
        <v>-5121278.52</v>
      </c>
      <c r="E37" s="58" t="n">
        <v>0</v>
      </c>
      <c r="I37" s="16" t="s">
        <v>140</v>
      </c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'[18]Team Report'!BA45</f>
        <v>0</v>
      </c>
      <c r="E38" s="58" t="n">
        <f aca="false">(C38/9)*12</f>
        <v>0</v>
      </c>
    </row>
    <row r="39" customFormat="false" ht="12.75" hidden="true" customHeight="false" outlineLevel="0" collapsed="false">
      <c r="A39" s="56" t="s">
        <v>106</v>
      </c>
      <c r="B39" s="57" t="s">
        <v>107</v>
      </c>
      <c r="C39" s="58" t="n">
        <v>24143776.43</v>
      </c>
      <c r="E39" s="58" t="n">
        <v>0</v>
      </c>
      <c r="I39" s="0" t="s">
        <v>239</v>
      </c>
    </row>
    <row r="40" customFormat="false" ht="12.75" hidden="false" customHeight="false" outlineLevel="0" collapsed="false">
      <c r="J40" s="0" t="n">
        <f aca="false">61/109</f>
        <v>0.559633027522936</v>
      </c>
    </row>
    <row r="42" customFormat="false" ht="12.75" hidden="false" customHeight="false" outlineLevel="0" collapsed="false">
      <c r="B42" s="57" t="s">
        <v>259</v>
      </c>
    </row>
    <row r="43" customFormat="false" ht="12.75" hidden="false" customHeight="false" outlineLevel="0" collapsed="false">
      <c r="B43" s="57" t="s">
        <v>260</v>
      </c>
    </row>
    <row r="44" customFormat="false" ht="12.75" hidden="false" customHeight="false" outlineLevel="0" collapsed="false">
      <c r="B44" s="57" t="s">
        <v>261</v>
      </c>
      <c r="C44" s="96" t="n">
        <f aca="false">C23+C31+C32+C33+C34+C35+C36+C37+C38</f>
        <v>-13992730.45</v>
      </c>
    </row>
  </sheetData>
  <mergeCells count="4">
    <mergeCell ref="B1:H1"/>
    <mergeCell ref="B2:H2"/>
    <mergeCell ref="B3:H3"/>
    <mergeCell ref="J4:M4"/>
  </mergeCells>
  <printOptions headings="false" gridLines="false" gridLinesSet="true" horizontalCentered="true" verticalCentered="false"/>
  <pageMargins left="2.17013888888889" right="0.747916666666667" top="0.55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.99"/>
    <col collapsed="false" customWidth="true" hidden="false" outlineLevel="0" max="7" min="7" style="0" width="13.85"/>
    <col collapsed="false" customWidth="true" hidden="true" outlineLevel="0" max="8" min="8" style="0" width="2.28"/>
    <col collapsed="false" customWidth="true" hidden="true" outlineLevel="0" max="10" min="9" style="0" width="9.14"/>
    <col collapsed="false" customWidth="true" hidden="true" outlineLevel="0" max="11" min="11" style="0" width="12.99"/>
    <col collapsed="false" customWidth="true" hidden="true" outlineLevel="0" max="12" min="12" style="43" width="10.41"/>
    <col collapsed="false" customWidth="true" hidden="true" outlineLevel="0" max="13" min="13" style="43" width="10.85"/>
    <col collapsed="false" customWidth="true" hidden="true" outlineLevel="0" max="14" min="14" style="43" width="11.42"/>
    <col collapsed="false" customWidth="true" hidden="true" outlineLevel="0" max="15" min="15" style="0" width="9.14"/>
    <col collapsed="false" customWidth="true" hidden="true" outlineLevel="0" max="16" min="16" style="0" width="12.85"/>
    <col collapsed="false" customWidth="true" hidden="true" outlineLevel="0" max="17" min="17" style="0" width="8.7"/>
    <col collapsed="false" customWidth="true" hidden="true" outlineLevel="0" max="18" min="18" style="0" width="8.85"/>
    <col collapsed="false" customWidth="true" hidden="true" outlineLevel="0" max="19" min="19" style="0" width="10.28"/>
    <col collapsed="false" customWidth="false" hidden="true" outlineLevel="0" max="49" min="20" style="0" width="9.06"/>
  </cols>
  <sheetData>
    <row r="1" customFormat="false" ht="18" hidden="false" customHeight="false" outlineLevel="0" collapsed="false">
      <c r="B1" s="44" t="str">
        <f aca="false">'[11]Team Report'!B1</f>
        <v>Enron North America</v>
      </c>
      <c r="C1" s="44"/>
      <c r="D1" s="44"/>
      <c r="E1" s="44"/>
      <c r="F1" s="44"/>
      <c r="G1" s="44"/>
      <c r="H1" s="46"/>
      <c r="I1" s="46"/>
      <c r="J1" s="46"/>
      <c r="K1" s="46"/>
      <c r="L1" s="45"/>
      <c r="M1" s="45"/>
      <c r="N1" s="45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customFormat="false" ht="18" hidden="false" customHeight="false" outlineLevel="0" collapsed="false">
      <c r="B2" s="44" t="s">
        <v>262</v>
      </c>
      <c r="C2" s="44"/>
      <c r="D2" s="44"/>
      <c r="E2" s="44"/>
      <c r="F2" s="44"/>
      <c r="G2" s="44"/>
      <c r="H2" s="46"/>
      <c r="I2" s="46"/>
      <c r="J2" s="46"/>
      <c r="K2" s="46"/>
      <c r="L2" s="45"/>
      <c r="M2" s="45"/>
      <c r="N2" s="45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customFormat="false" ht="18" hidden="false" customHeight="false" outlineLevel="0" collapsed="false">
      <c r="B3" s="47" t="s">
        <v>5</v>
      </c>
      <c r="C3" s="47"/>
      <c r="D3" s="47"/>
      <c r="E3" s="47"/>
      <c r="F3" s="47"/>
      <c r="G3" s="47"/>
      <c r="H3" s="48"/>
      <c r="I3" s="48"/>
      <c r="J3" s="48"/>
      <c r="K3" s="48"/>
      <c r="L3" s="45"/>
      <c r="M3" s="45"/>
      <c r="N3" s="45"/>
      <c r="O3" s="48"/>
      <c r="P3" s="47"/>
      <c r="Q3" s="47"/>
      <c r="R3" s="47"/>
      <c r="S3" s="47"/>
      <c r="T3" s="47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customFormat="false" ht="13.5" hidden="false" customHeight="false" outlineLevel="0" collapsed="false">
      <c r="K4" s="97"/>
      <c r="L4" s="97"/>
      <c r="M4" s="97"/>
      <c r="N4" s="97"/>
      <c r="P4" s="10"/>
      <c r="Q4" s="10"/>
      <c r="R4" s="10"/>
      <c r="S4" s="10"/>
      <c r="T4" s="21"/>
    </row>
    <row r="5" customFormat="false" ht="12.75" hidden="false" customHeight="false" outlineLevel="0" collapsed="false">
      <c r="K5" s="79"/>
      <c r="L5" s="50"/>
      <c r="M5" s="50"/>
      <c r="N5" s="51"/>
      <c r="O5" s="21"/>
      <c r="P5" s="21"/>
      <c r="Q5" s="43"/>
      <c r="R5" s="43"/>
      <c r="S5" s="43"/>
      <c r="T5" s="21"/>
    </row>
    <row r="6" customFormat="false" ht="12.75" hidden="false" customHeight="false" outlineLevel="0" collapsed="false">
      <c r="C6" s="54" t="n">
        <v>37135</v>
      </c>
      <c r="E6" s="94" t="n">
        <v>2001</v>
      </c>
      <c r="F6" s="94"/>
      <c r="G6" s="94" t="n">
        <v>2002</v>
      </c>
      <c r="I6" s="54"/>
      <c r="K6" s="82"/>
      <c r="L6" s="74" t="s">
        <v>85</v>
      </c>
      <c r="M6" s="74" t="s">
        <v>86</v>
      </c>
      <c r="N6" s="98" t="s">
        <v>196</v>
      </c>
      <c r="O6" s="94" t="n">
        <v>2002</v>
      </c>
      <c r="P6" s="21"/>
      <c r="Q6" s="74"/>
      <c r="R6" s="74"/>
      <c r="S6" s="74"/>
      <c r="T6" s="21"/>
    </row>
    <row r="7" customFormat="false" ht="12.75" hidden="false" customHeight="false" outlineLevel="0" collapsed="false">
      <c r="C7" s="55" t="s">
        <v>91</v>
      </c>
      <c r="E7" s="55" t="s">
        <v>92</v>
      </c>
      <c r="F7" s="55"/>
      <c r="G7" s="55" t="s">
        <v>92</v>
      </c>
      <c r="I7" s="55"/>
      <c r="K7" s="82"/>
      <c r="N7" s="53"/>
      <c r="O7" s="55" t="s">
        <v>94</v>
      </c>
      <c r="P7" s="21"/>
      <c r="Q7" s="43"/>
      <c r="R7" s="43"/>
      <c r="S7" s="43"/>
      <c r="T7" s="21"/>
    </row>
    <row r="8" customFormat="false" ht="12.75" hidden="false" customHeight="false" outlineLevel="0" collapsed="false">
      <c r="A8" s="56" t="s">
        <v>95</v>
      </c>
      <c r="B8" s="57" t="s">
        <v>96</v>
      </c>
      <c r="C8" s="99" t="n">
        <f aca="false">'[11]Team Report'!BA25</f>
        <v>4985502.23</v>
      </c>
      <c r="E8" s="58" t="n">
        <f aca="false">(C8/9)*12</f>
        <v>6647336.30666667</v>
      </c>
      <c r="F8" s="58"/>
      <c r="G8" s="58" t="n">
        <f aca="false">SUM(N17:N19,N21:N27)+172800+561516</f>
        <v>3526716</v>
      </c>
      <c r="K8" s="82"/>
      <c r="N8" s="53"/>
      <c r="O8" s="58" t="n">
        <f aca="false">+G8/$G$29*$O$29</f>
        <v>90428.6153846154</v>
      </c>
      <c r="P8" s="21"/>
      <c r="Q8" s="43"/>
      <c r="R8" s="43"/>
      <c r="S8" s="43"/>
      <c r="T8" s="21"/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(C9/9)*12</f>
        <v>0</v>
      </c>
      <c r="F9" s="58"/>
      <c r="G9" s="58" t="n">
        <f aca="false">(E9/9)*12</f>
        <v>0</v>
      </c>
      <c r="K9" s="82" t="s">
        <v>96</v>
      </c>
      <c r="L9" s="43" t="n">
        <v>0</v>
      </c>
      <c r="M9" s="43" t="n">
        <f aca="false">M28</f>
        <v>39</v>
      </c>
      <c r="N9" s="53" t="n">
        <f aca="false">N32</f>
        <v>3558240</v>
      </c>
      <c r="O9" s="58" t="n">
        <f aca="false">+G9/$G$29*$O$29</f>
        <v>0</v>
      </c>
      <c r="P9" s="21"/>
      <c r="Q9" s="43"/>
      <c r="R9" s="43"/>
      <c r="S9" s="43"/>
      <c r="T9" s="21"/>
    </row>
    <row r="10" customFormat="false" ht="12.75" hidden="true" customHeight="false" outlineLevel="0" collapsed="false">
      <c r="A10" s="56"/>
      <c r="B10" s="57" t="s">
        <v>246</v>
      </c>
      <c r="C10" s="58" t="n">
        <v>0</v>
      </c>
      <c r="E10" s="58" t="n">
        <f aca="false">(C10/9)*12</f>
        <v>0</v>
      </c>
      <c r="F10" s="58"/>
      <c r="G10" s="58" t="n">
        <v>0</v>
      </c>
      <c r="K10" s="82"/>
      <c r="N10" s="53"/>
      <c r="O10" s="58" t="n">
        <f aca="false">+G10/$G$29*$O$29</f>
        <v>0</v>
      </c>
      <c r="P10" s="21"/>
      <c r="Q10" s="43"/>
      <c r="R10" s="43"/>
      <c r="S10" s="43"/>
      <c r="T10" s="21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'[11]Team Report'!BA26</f>
        <v>1210281.11</v>
      </c>
      <c r="E11" s="58" t="n">
        <f aca="false">(C11/9)*12</f>
        <v>1613708.14666667</v>
      </c>
      <c r="F11" s="58"/>
      <c r="G11" s="58" t="n">
        <f aca="false">SUM(G8:G10)*0.2+49374</f>
        <v>754717.2</v>
      </c>
      <c r="K11" s="82"/>
      <c r="N11" s="53"/>
      <c r="O11" s="58" t="n">
        <f aca="false">+G11/$G$29*$O$29</f>
        <v>19351.7230769231</v>
      </c>
      <c r="P11" s="21"/>
      <c r="Q11" s="43"/>
      <c r="R11" s="43"/>
      <c r="S11" s="43"/>
      <c r="T11" s="21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'[11]Team Report'!BA27</f>
        <v>190029.97</v>
      </c>
      <c r="E12" s="58" t="n">
        <f aca="false">((C12/9)*12)*1.99</f>
        <v>504212.853733333</v>
      </c>
      <c r="F12" s="58"/>
      <c r="G12" s="58" t="n">
        <f aca="false">348924+240000-409440+61200</f>
        <v>240684</v>
      </c>
      <c r="K12" s="82" t="s">
        <v>67</v>
      </c>
      <c r="L12" s="43" t="n">
        <f aca="false">(E12+E13+E14+E15+E16+E17+E18+E19+E20+E21+E22)/E29</f>
        <v>10001.2649254237</v>
      </c>
      <c r="M12" s="43" t="n">
        <f aca="false">M28</f>
        <v>39</v>
      </c>
      <c r="N12" s="53" t="n">
        <f aca="false">L12*M12+500000+630554</f>
        <v>1520603.33209153</v>
      </c>
      <c r="O12" s="58" t="n">
        <f aca="false">+G12/$G$29*$O$29</f>
        <v>6171.38461538462</v>
      </c>
      <c r="P12" s="21"/>
      <c r="Q12" s="43"/>
      <c r="R12" s="43"/>
      <c r="S12" s="43"/>
      <c r="T12" s="21"/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'[11]Team Report'!BA28</f>
        <v>78390.58</v>
      </c>
      <c r="E13" s="58" t="n">
        <f aca="false">((C13/9)*12)*2.35</f>
        <v>245623.817333333</v>
      </c>
      <c r="F13" s="58"/>
      <c r="G13" s="58" t="n">
        <f aca="false">262411+100000-5411</f>
        <v>357000</v>
      </c>
      <c r="K13" s="82"/>
      <c r="N13" s="53"/>
      <c r="O13" s="58" t="n">
        <f aca="false">+G13/$G$29*$O$29</f>
        <v>9153.84615384615</v>
      </c>
      <c r="P13" s="21"/>
      <c r="Q13" s="43"/>
      <c r="R13" s="43"/>
      <c r="S13" s="43"/>
      <c r="T13" s="21"/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v>0</v>
      </c>
      <c r="E14" s="58" t="n">
        <f aca="false">((C14/9)*12)*1.2</f>
        <v>0</v>
      </c>
      <c r="F14" s="58"/>
      <c r="G14" s="58" t="n">
        <v>25500</v>
      </c>
      <c r="K14" s="87" t="s">
        <v>105</v>
      </c>
      <c r="L14" s="64"/>
      <c r="M14" s="64"/>
      <c r="N14" s="65" t="n">
        <f aca="false">SUM(N9:N12)</f>
        <v>5078843.33209153</v>
      </c>
      <c r="O14" s="58" t="n">
        <f aca="false">+G14/$G$29*$O$29</f>
        <v>653.846153846154</v>
      </c>
      <c r="P14" s="21"/>
      <c r="Q14" s="43"/>
      <c r="R14" s="43"/>
      <c r="S14" s="43"/>
      <c r="T14" s="21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'[11]Team Report'!BA33</f>
        <v>69921.63</v>
      </c>
      <c r="E15" s="58" t="n">
        <f aca="false">((C15/9)*12)*1.81</f>
        <v>168744.2004</v>
      </c>
      <c r="F15" s="58"/>
      <c r="G15" s="58" t="n">
        <f aca="false">96365+40000-136365+92328</f>
        <v>92328</v>
      </c>
      <c r="K15" s="21"/>
      <c r="O15" s="58" t="n">
        <f aca="false">+G15/$G$29*$O$29</f>
        <v>2367.38461538462</v>
      </c>
      <c r="P15" s="21"/>
      <c r="Q15" s="21"/>
      <c r="R15" s="21"/>
      <c r="S15" s="21"/>
      <c r="T15" s="21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'[11]Team Report'!BA34</f>
        <v>0</v>
      </c>
      <c r="E16" s="58" t="n">
        <f aca="false">((C16/9)*12)*1.2</f>
        <v>0</v>
      </c>
      <c r="F16" s="58"/>
      <c r="G16" s="58" t="n">
        <v>340000</v>
      </c>
      <c r="K16" s="21"/>
      <c r="O16" s="58" t="n">
        <f aca="false">+G16/$G$29*$O$29</f>
        <v>8717.94871794872</v>
      </c>
      <c r="P16" s="21"/>
      <c r="Q16" s="21"/>
      <c r="R16" s="21"/>
      <c r="S16" s="21"/>
      <c r="T16" s="21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'[11]Team Report'!BA35</f>
        <v>0</v>
      </c>
      <c r="E17" s="58" t="n">
        <f aca="false">((C17/9)*12)*1.2</f>
        <v>0</v>
      </c>
      <c r="F17" s="58"/>
      <c r="G17" s="58" t="n">
        <v>0</v>
      </c>
      <c r="K17" s="21" t="s">
        <v>177</v>
      </c>
      <c r="L17" s="43" t="n">
        <v>36000</v>
      </c>
      <c r="M17" s="0" t="n">
        <v>0</v>
      </c>
      <c r="N17" s="43" t="n">
        <f aca="false">L17*M17</f>
        <v>0</v>
      </c>
      <c r="O17" s="58" t="n">
        <f aca="false">+G17/$G$29*$O$29</f>
        <v>0</v>
      </c>
      <c r="P17" s="21"/>
      <c r="Q17" s="43"/>
      <c r="R17" s="21"/>
      <c r="S17" s="105"/>
      <c r="T17" s="21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'[11]Team Report'!BA36</f>
        <v>19039.67</v>
      </c>
      <c r="E18" s="58" t="n">
        <f aca="false">((C18/9)*12)*1.29</f>
        <v>32748.2324</v>
      </c>
      <c r="F18" s="58"/>
      <c r="G18" s="58" t="n">
        <f aca="false">6000</f>
        <v>6000</v>
      </c>
      <c r="K18" s="0" t="s">
        <v>220</v>
      </c>
      <c r="L18" s="43" t="n">
        <v>48000</v>
      </c>
      <c r="M18" s="0" t="n">
        <v>2</v>
      </c>
      <c r="N18" s="43" t="n">
        <f aca="false">L18*M18</f>
        <v>96000</v>
      </c>
      <c r="O18" s="58" t="n">
        <f aca="false">+G18/$G$29*$O$29</f>
        <v>153.846153846154</v>
      </c>
      <c r="Q18" s="43"/>
      <c r="S18" s="60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'[11]Team Report'!BA37</f>
        <v>17422.02</v>
      </c>
      <c r="E19" s="58" t="n">
        <f aca="false">((C19/9)*12)*2.2</f>
        <v>51104.592</v>
      </c>
      <c r="F19" s="58"/>
      <c r="G19" s="58" t="n">
        <f aca="false">+$N$12*0.19+150000-438915+107240+169200+435536</f>
        <v>711975.63309739</v>
      </c>
      <c r="K19" s="0" t="s">
        <v>118</v>
      </c>
      <c r="L19" s="43" t="n">
        <v>49200</v>
      </c>
      <c r="M19" s="0" t="n">
        <v>7</v>
      </c>
      <c r="N19" s="43" t="n">
        <f aca="false">L19*M19</f>
        <v>344400</v>
      </c>
      <c r="O19" s="58" t="n">
        <f aca="false">+G19/$G$29*$O$29</f>
        <v>18255.7854640356</v>
      </c>
      <c r="Q19" s="43"/>
      <c r="S19" s="60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'[11]Team Report'!BA38</f>
        <v>0</v>
      </c>
      <c r="E20" s="58" t="n">
        <f aca="false">((C20/9)*12)*1.2</f>
        <v>0</v>
      </c>
      <c r="F20" s="58"/>
      <c r="G20" s="58" t="n">
        <v>0</v>
      </c>
      <c r="K20" s="0" t="s">
        <v>221</v>
      </c>
      <c r="L20" s="43" t="n">
        <v>57600</v>
      </c>
      <c r="M20" s="0" t="n">
        <v>3</v>
      </c>
      <c r="N20" s="43" t="n">
        <f aca="false">L20*M20</f>
        <v>172800</v>
      </c>
      <c r="O20" s="58" t="n">
        <f aca="false">+G20/$G$29*$O$29</f>
        <v>0</v>
      </c>
      <c r="Q20" s="43"/>
      <c r="S20" s="60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'[11]Team Report'!BA42</f>
        <v>75042.68</v>
      </c>
      <c r="E21" s="58" t="n">
        <f aca="false">((C21/9)*12)*1.75</f>
        <v>175099.586666667</v>
      </c>
      <c r="F21" s="58"/>
      <c r="G21" s="58" t="n">
        <f aca="false">264168+100000+405121-769289+553800+420160+443302</f>
        <v>1417262</v>
      </c>
      <c r="K21" s="0" t="s">
        <v>121</v>
      </c>
      <c r="L21" s="43" t="n">
        <v>62400</v>
      </c>
      <c r="M21" s="0" t="n">
        <v>8</v>
      </c>
      <c r="N21" s="43" t="n">
        <f aca="false">L21*M21</f>
        <v>499200</v>
      </c>
      <c r="O21" s="58" t="n">
        <f aca="false">+G21/$G$29*$O$29</f>
        <v>36340.0512820513</v>
      </c>
      <c r="Q21" s="43"/>
      <c r="S21" s="60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'[11]Team Report'!BA44</f>
        <v>1226.24</v>
      </c>
      <c r="E22" s="58" t="n">
        <f aca="false">((C22/9)*12)*1.6</f>
        <v>2615.97866666667</v>
      </c>
      <c r="F22" s="58"/>
      <c r="G22" s="58" t="n">
        <v>0</v>
      </c>
      <c r="K22" s="0" t="s">
        <v>222</v>
      </c>
      <c r="L22" s="43" t="n">
        <v>74400</v>
      </c>
      <c r="M22" s="0" t="n">
        <v>7</v>
      </c>
      <c r="N22" s="43" t="n">
        <f aca="false">L22*M22</f>
        <v>520800</v>
      </c>
      <c r="O22" s="58" t="n">
        <f aca="false">+G22/$G$29*$O$29</f>
        <v>0</v>
      </c>
      <c r="Q22" s="43"/>
      <c r="S22" s="60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6646856.13</v>
      </c>
      <c r="E23" s="68" t="n">
        <f aca="false">SUM(E8:E22)</f>
        <v>9441193.71453334</v>
      </c>
      <c r="F23" s="70"/>
      <c r="G23" s="68" t="n">
        <f aca="false">SUM(G8:G22)</f>
        <v>7472182.83309739</v>
      </c>
      <c r="K23" s="0" t="s">
        <v>223</v>
      </c>
      <c r="L23" s="43" t="n">
        <v>96000</v>
      </c>
      <c r="M23" s="0" t="n">
        <v>8</v>
      </c>
      <c r="N23" s="43" t="n">
        <f aca="false">L23*M23</f>
        <v>768000</v>
      </c>
      <c r="O23" s="68" t="n">
        <f aca="false">SUM(O8:O22)</f>
        <v>191594.431617882</v>
      </c>
      <c r="Q23" s="43"/>
      <c r="S23" s="60"/>
    </row>
    <row r="24" customFormat="false" ht="12.75" hidden="false" customHeight="false" outlineLevel="0" collapsed="false">
      <c r="K24" s="0" t="s">
        <v>224</v>
      </c>
      <c r="L24" s="43" t="n">
        <v>120000</v>
      </c>
      <c r="M24" s="0" t="n">
        <v>3</v>
      </c>
      <c r="N24" s="43" t="n">
        <f aca="false">L24*M24</f>
        <v>360000</v>
      </c>
      <c r="Q24" s="43"/>
      <c r="S24" s="60"/>
    </row>
    <row r="25" customFormat="false" ht="12.75" hidden="false" customHeight="false" outlineLevel="0" collapsed="false">
      <c r="B25" s="67" t="s">
        <v>9</v>
      </c>
      <c r="C25" s="101"/>
      <c r="E25" s="101" t="n">
        <v>114</v>
      </c>
      <c r="F25" s="3"/>
      <c r="G25" s="101" t="n">
        <f aca="false">SUM(M17:M19,M21:M27)</f>
        <v>36</v>
      </c>
      <c r="K25" s="0" t="s">
        <v>225</v>
      </c>
      <c r="L25" s="43" t="n">
        <v>156000</v>
      </c>
      <c r="M25" s="0" t="n">
        <v>0</v>
      </c>
      <c r="N25" s="43" t="n">
        <f aca="false">L25*M25</f>
        <v>0</v>
      </c>
      <c r="O25" s="71" t="n">
        <f aca="false">SUM(U16:U20,U23:U27)</f>
        <v>0</v>
      </c>
      <c r="Q25" s="43"/>
      <c r="S25" s="60"/>
    </row>
    <row r="26" customFormat="false" ht="12.75" hidden="false" customHeight="false" outlineLevel="0" collapsed="false">
      <c r="K26" s="0" t="s">
        <v>226</v>
      </c>
      <c r="L26" s="43" t="n">
        <v>204000</v>
      </c>
      <c r="M26" s="0" t="n">
        <v>1</v>
      </c>
      <c r="N26" s="43" t="n">
        <f aca="false">L26*M26</f>
        <v>204000</v>
      </c>
      <c r="O26" s="58"/>
      <c r="Q26" s="43"/>
      <c r="S26" s="60"/>
    </row>
    <row r="27" customFormat="false" ht="12.75" hidden="false" customHeight="false" outlineLevel="0" collapsed="false">
      <c r="B27" s="67" t="s">
        <v>137</v>
      </c>
      <c r="C27" s="101"/>
      <c r="E27" s="101" t="n">
        <v>4</v>
      </c>
      <c r="F27" s="3"/>
      <c r="G27" s="101" t="n">
        <f aca="false">SUM(M20)</f>
        <v>3</v>
      </c>
      <c r="K27" s="0" t="s">
        <v>227</v>
      </c>
      <c r="L27" s="43" t="n">
        <v>240000</v>
      </c>
      <c r="M27" s="0" t="n">
        <v>0</v>
      </c>
      <c r="N27" s="43" t="n">
        <f aca="false">L27*M27</f>
        <v>0</v>
      </c>
      <c r="O27" s="71" t="n">
        <f aca="false">+U21+U22</f>
        <v>0</v>
      </c>
      <c r="Q27" s="43"/>
      <c r="S27" s="60"/>
    </row>
    <row r="28" customFormat="false" ht="12.75" hidden="false" customHeight="false" outlineLevel="0" collapsed="false">
      <c r="M28" s="43" t="n">
        <f aca="false">SUM(M17:M27)</f>
        <v>39</v>
      </c>
      <c r="N28" s="43" t="n">
        <f aca="false">SUM(N17:N27)</f>
        <v>2965200</v>
      </c>
      <c r="Q28" s="43"/>
      <c r="S28" s="60"/>
    </row>
    <row r="29" customFormat="false" ht="12.75" hidden="false" customHeight="false" outlineLevel="0" collapsed="false">
      <c r="B29" s="67" t="s">
        <v>139</v>
      </c>
      <c r="C29" s="101"/>
      <c r="E29" s="101" t="n">
        <f aca="false">SUM(E25:E28)</f>
        <v>118</v>
      </c>
      <c r="F29" s="3"/>
      <c r="G29" s="101" t="n">
        <f aca="false">SUM(G25:G28)</f>
        <v>39</v>
      </c>
      <c r="O29" s="71" t="n">
        <v>1</v>
      </c>
      <c r="Q29" s="43"/>
      <c r="R29" s="43"/>
    </row>
    <row r="30" customFormat="false" ht="12.75" hidden="false" customHeight="false" outlineLevel="0" collapsed="false">
      <c r="B30" s="67"/>
      <c r="K30" s="0" t="s">
        <v>228</v>
      </c>
      <c r="M30" s="72"/>
      <c r="N30" s="72" t="n">
        <v>0.2</v>
      </c>
      <c r="Q30" s="43"/>
      <c r="R30" s="72"/>
      <c r="S30" s="72"/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'[11]Team Report'!BA29</f>
        <v>0</v>
      </c>
      <c r="E31" s="58" t="n">
        <f aca="false">(C31/9)*12</f>
        <v>0</v>
      </c>
      <c r="F31" s="58"/>
      <c r="G31" s="58"/>
      <c r="Q31" s="43"/>
      <c r="R31" s="43"/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'[11]Team Report'!BA30</f>
        <v>0</v>
      </c>
      <c r="E32" s="58" t="n">
        <f aca="false">(C32/9)*12</f>
        <v>0</v>
      </c>
      <c r="F32" s="58"/>
      <c r="G32" s="58"/>
      <c r="N32" s="43" t="n">
        <f aca="false">N28*1.2</f>
        <v>3558240</v>
      </c>
      <c r="Q32" s="43"/>
      <c r="R32" s="43"/>
      <c r="S32" s="43"/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'[11]Team Report'!BA31</f>
        <v>0</v>
      </c>
      <c r="E33" s="58" t="n">
        <f aca="false">(C33/9)*12</f>
        <v>0</v>
      </c>
      <c r="F33" s="58"/>
      <c r="G33" s="58"/>
      <c r="Q33" s="43"/>
      <c r="R33" s="43"/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'[11]Team Report'!BA39</f>
        <v>0</v>
      </c>
      <c r="E34" s="58" t="n">
        <f aca="false">(C34/9)*12</f>
        <v>0</v>
      </c>
      <c r="F34" s="58"/>
      <c r="G34" s="58"/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'[11]Team Report'!BA40</f>
        <v>24670.39</v>
      </c>
      <c r="E35" s="58" t="n">
        <f aca="false">(C35/9)*12</f>
        <v>32893.8533333333</v>
      </c>
      <c r="F35" s="58"/>
      <c r="G35" s="58"/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'[11]Team Report'!BA41</f>
        <v>481045.43</v>
      </c>
      <c r="E36" s="58" t="n">
        <f aca="false">(C36/9)*12</f>
        <v>641393.906666667</v>
      </c>
      <c r="F36" s="58"/>
      <c r="G36" s="58"/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'[11]Team Report'!BA43</f>
        <v>-771915.88</v>
      </c>
      <c r="E37" s="58" t="n">
        <f aca="false">(C37/9)*12</f>
        <v>-1029221.17333333</v>
      </c>
      <c r="F37" s="58"/>
      <c r="G37" s="58"/>
      <c r="J37" s="16" t="s">
        <v>140</v>
      </c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'[11]Team Report'!BA45</f>
        <v>0</v>
      </c>
      <c r="E38" s="58" t="n">
        <f aca="false">(C38/9)*12</f>
        <v>0</v>
      </c>
      <c r="F38" s="58"/>
      <c r="G38" s="58"/>
    </row>
    <row r="39" customFormat="false" ht="12.75" hidden="false" customHeight="false" outlineLevel="0" collapsed="false">
      <c r="A39" s="56"/>
      <c r="B39" s="57"/>
      <c r="C39" s="58"/>
      <c r="E39" s="58"/>
      <c r="F39" s="58"/>
      <c r="G39" s="58"/>
      <c r="J39" s="0" t="s">
        <v>239</v>
      </c>
    </row>
    <row r="44" customFormat="false" ht="12.75" hidden="false" customHeight="false" outlineLevel="0" collapsed="false">
      <c r="C44" s="96" t="n">
        <f aca="false">C23+C31+C32+C33+C34+C35+C36+C37+C38</f>
        <v>6380656.07</v>
      </c>
    </row>
  </sheetData>
  <mergeCells count="5">
    <mergeCell ref="B1:G1"/>
    <mergeCell ref="B2:G2"/>
    <mergeCell ref="B3:G3"/>
    <mergeCell ref="K4:N4"/>
    <mergeCell ref="P4:S4"/>
  </mergeCells>
  <printOptions headings="false" gridLines="false" gridLinesSet="true" horizontalCentered="true" verticalCentered="false"/>
  <pageMargins left="0.747916666666667" right="0.747916666666667" top="0.87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23.56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10.41"/>
    <col collapsed="false" customWidth="true" hidden="true" outlineLevel="0" max="8" min="8" style="0" width="2.56"/>
    <col collapsed="false" customWidth="true" hidden="true" outlineLevel="0" max="9" min="9" style="0" width="5.28"/>
    <col collapsed="false" customWidth="true" hidden="true" outlineLevel="0" max="10" min="10" style="0" width="13.14"/>
    <col collapsed="false" customWidth="true" hidden="true" outlineLevel="0" max="11" min="11" style="0" width="10.28"/>
    <col collapsed="false" customWidth="true" hidden="true" outlineLevel="0" max="12" min="12" style="0" width="9.41"/>
    <col collapsed="false" customWidth="true" hidden="true" outlineLevel="0" max="13" min="13" style="0" width="13.85"/>
    <col collapsed="false" customWidth="true" hidden="true" outlineLevel="0" max="14" min="14" style="0" width="9.28"/>
    <col collapsed="false" customWidth="true" hidden="true" outlineLevel="0" max="15" min="15" style="0" width="9.14"/>
    <col collapsed="false" customWidth="false" hidden="true" outlineLevel="0" max="50" min="16" style="0" width="9.06"/>
  </cols>
  <sheetData>
    <row r="1" customFormat="false" ht="18" hidden="false" customHeight="false" outlineLevel="0" collapsed="false">
      <c r="B1" s="44" t="str">
        <f aca="false">'[19]Team Report'!B1</f>
        <v>Enron North America</v>
      </c>
      <c r="C1" s="44"/>
      <c r="D1" s="44"/>
      <c r="E1" s="44"/>
      <c r="F1" s="44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customFormat="false" ht="18" hidden="false" customHeight="false" outlineLevel="0" collapsed="false">
      <c r="B2" s="44" t="str">
        <f aca="false">'[19]Pull Sheet'!E9</f>
        <v>Canada Support</v>
      </c>
      <c r="C2" s="44"/>
      <c r="D2" s="44"/>
      <c r="E2" s="44"/>
      <c r="F2" s="44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customFormat="false" ht="18.75" hidden="false" customHeight="false" outlineLevel="0" collapsed="false">
      <c r="B3" s="44" t="s">
        <v>5</v>
      </c>
      <c r="C3" s="44"/>
      <c r="D3" s="44"/>
      <c r="E3" s="44"/>
      <c r="F3" s="44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</row>
    <row r="4" customFormat="false" ht="12.75" hidden="false" customHeight="false" outlineLevel="0" collapsed="false">
      <c r="J4" s="79"/>
      <c r="K4" s="80"/>
      <c r="L4" s="80"/>
      <c r="M4" s="81"/>
    </row>
    <row r="5" customFormat="false" ht="12.75" hidden="false" customHeight="false" outlineLevel="0" collapsed="false">
      <c r="J5" s="82"/>
      <c r="K5" s="21" t="s">
        <v>85</v>
      </c>
      <c r="L5" s="21" t="s">
        <v>86</v>
      </c>
      <c r="M5" s="8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F6" s="94" t="n">
        <v>2002</v>
      </c>
      <c r="J6" s="82"/>
      <c r="K6" s="21"/>
      <c r="L6" s="21"/>
      <c r="M6" s="83"/>
      <c r="O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 t="s">
        <v>94</v>
      </c>
      <c r="H7" s="16"/>
      <c r="J7" s="82"/>
      <c r="K7" s="21"/>
      <c r="L7" s="21"/>
      <c r="M7" s="8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'[19]Team Report'!BA25</f>
        <v>3097005.18</v>
      </c>
      <c r="E8" s="58" t="n">
        <f aca="false">(C8/9)*12</f>
        <v>4129340.24</v>
      </c>
      <c r="F8" s="58" t="n">
        <f aca="false">SUM(M16:M21,M25:M27,M31:M36,M40:M42,M46,M49:M50)</f>
        <v>3205200</v>
      </c>
      <c r="J8" s="82" t="s">
        <v>96</v>
      </c>
      <c r="K8" s="43" t="n">
        <v>0</v>
      </c>
      <c r="L8" s="21"/>
      <c r="M8" s="86" t="n">
        <f aca="false">M22+M28+M37+M43+M47+M51</f>
        <v>3846240</v>
      </c>
      <c r="O8" s="58" t="n">
        <f aca="false">+F8/$F$29*$O$29</f>
        <v>97127.2727272727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(C9/9)*12</f>
        <v>0</v>
      </c>
      <c r="F9" s="58" t="n">
        <f aca="false">(D9/9)*12</f>
        <v>0</v>
      </c>
      <c r="J9" s="82"/>
      <c r="K9" s="21"/>
      <c r="L9" s="21"/>
      <c r="M9" s="83"/>
      <c r="O9" s="58" t="n">
        <f aca="false">+F9/$F$29*$O$29</f>
        <v>0</v>
      </c>
    </row>
    <row r="10" customFormat="false" ht="12.75" hidden="true" customHeight="false" outlineLevel="0" collapsed="false">
      <c r="B10" s="57" t="s">
        <v>176</v>
      </c>
      <c r="C10" s="58" t="n">
        <v>0</v>
      </c>
      <c r="E10" s="58" t="n">
        <f aca="false">(C10/9)*12</f>
        <v>0</v>
      </c>
      <c r="F10" s="58" t="n">
        <f aca="false">(D10/9)*12</f>
        <v>0</v>
      </c>
      <c r="J10" s="82"/>
      <c r="K10" s="21"/>
      <c r="L10" s="21"/>
      <c r="M10" s="83"/>
      <c r="O10" s="58" t="n">
        <f aca="false">+F10/$F$29*$O$29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'[19]Team Report'!BA26</f>
        <v>405010.4</v>
      </c>
      <c r="E11" s="58" t="n">
        <f aca="false">(C11/9)*12</f>
        <v>540013.866666667</v>
      </c>
      <c r="F11" s="58" t="n">
        <f aca="false">+F8*0.2</f>
        <v>641040</v>
      </c>
      <c r="J11" s="82" t="s">
        <v>67</v>
      </c>
      <c r="K11" s="74" t="n">
        <f aca="false">(E12+E13+E14+E15+E16+E17+E18+E19+E20+E21+E22)/E29</f>
        <v>28886.1517241379</v>
      </c>
      <c r="L11" s="21" t="n">
        <f aca="false">+L22+L28+L37+L43+L47+L51</f>
        <v>32</v>
      </c>
      <c r="M11" s="86" t="n">
        <f aca="false">K11*L11</f>
        <v>924356.855172413</v>
      </c>
      <c r="O11" s="58" t="n">
        <f aca="false">+F11/$F$29*$O$29</f>
        <v>19425.4545454545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'[19]Team Report'!BA27</f>
        <v>309437.02</v>
      </c>
      <c r="E12" s="62" t="n">
        <f aca="false">(C12/9)*12*1.2</f>
        <v>495099.232</v>
      </c>
      <c r="F12" s="58" t="n">
        <f aca="false">+E12/$E$29*$L$11</f>
        <v>182105.464643678</v>
      </c>
      <c r="J12" s="82"/>
      <c r="K12" s="21"/>
      <c r="L12" s="21"/>
      <c r="M12" s="83"/>
      <c r="O12" s="58" t="n">
        <f aca="false">+F12/$F$29*$O$29</f>
        <v>5518.34741344479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'[19]Team Report'!BA28</f>
        <v>270791.23</v>
      </c>
      <c r="E13" s="62" t="n">
        <f aca="false">(C13/9)*12*1.2</f>
        <v>433265.968</v>
      </c>
      <c r="F13" s="58" t="n">
        <f aca="false">+E13/$E$29*$L$11</f>
        <v>159362.195126437</v>
      </c>
      <c r="J13" s="87" t="s">
        <v>105</v>
      </c>
      <c r="K13" s="88"/>
      <c r="L13" s="88"/>
      <c r="M13" s="89" t="n">
        <f aca="false">M8+M11</f>
        <v>4770596.85517241</v>
      </c>
      <c r="O13" s="58" t="n">
        <f aca="false">+F13/$F$29*$O$29</f>
        <v>4829.15742807384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'[19]Team Report'!BA32-C39</f>
        <v>-0.420000000856817</v>
      </c>
      <c r="E14" s="62" t="n">
        <f aca="false">(C14/9)*12*1.2</f>
        <v>-0.672000001370907</v>
      </c>
      <c r="F14" s="58" t="n">
        <v>0</v>
      </c>
      <c r="N14" s="60"/>
      <c r="O14" s="58" t="n">
        <f aca="false">+F14/$F$29*$O$29</f>
        <v>0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'[19]Team Report'!BA33</f>
        <v>132382.8</v>
      </c>
      <c r="E15" s="62" t="n">
        <f aca="false">(C15/9)*12*1.2</f>
        <v>211812.48</v>
      </c>
      <c r="F15" s="58" t="n">
        <f aca="false">+E15/$E$29*$L$11</f>
        <v>77908.0386206897</v>
      </c>
      <c r="J15" s="16" t="s">
        <v>263</v>
      </c>
      <c r="N15" s="43"/>
      <c r="O15" s="58" t="n">
        <f aca="false">+F15/$F$29*$O$29</f>
        <v>2360.84965517241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'[19]Team Report'!BA34</f>
        <v>0</v>
      </c>
      <c r="E16" s="62" t="n">
        <f aca="false">(C16/9)*12*1.2</f>
        <v>0</v>
      </c>
      <c r="F16" s="58" t="n">
        <f aca="false">+E16/$E$29*$L$11</f>
        <v>0</v>
      </c>
      <c r="J16" s="0" t="s">
        <v>177</v>
      </c>
      <c r="K16" s="43" t="n">
        <v>36000</v>
      </c>
      <c r="L16" s="0" t="n">
        <v>1</v>
      </c>
      <c r="M16" s="43" t="n">
        <f aca="false">K16*L16</f>
        <v>36000</v>
      </c>
      <c r="O16" s="58" t="n">
        <f aca="false">+F16/$F$29*$O$29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'[19]Team Report'!BA35</f>
        <v>36209.44</v>
      </c>
      <c r="E17" s="62" t="n">
        <f aca="false">(C17/9)*12*1.2</f>
        <v>57935.104</v>
      </c>
      <c r="F17" s="58" t="n">
        <f aca="false">+E17/$E$29*$L$11</f>
        <v>21309.4635402299</v>
      </c>
      <c r="J17" s="0" t="s">
        <v>118</v>
      </c>
      <c r="K17" s="43" t="n">
        <v>54000</v>
      </c>
      <c r="L17" s="0" t="n">
        <v>2</v>
      </c>
      <c r="M17" s="43" t="n">
        <f aca="false">K17*L17</f>
        <v>108000</v>
      </c>
      <c r="O17" s="58" t="n">
        <f aca="false">+F17/$F$29*$O$29</f>
        <v>645.741319400906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'[19]Team Report'!BA36</f>
        <v>489327.92</v>
      </c>
      <c r="E18" s="62" t="n">
        <f aca="false">(C18/9)*12*1.2</f>
        <v>782924.672</v>
      </c>
      <c r="F18" s="58" t="n">
        <f aca="false">+E18/$E$29*$L$11</f>
        <v>287972.293149425</v>
      </c>
      <c r="J18" s="0" t="s">
        <v>121</v>
      </c>
      <c r="K18" s="43" t="n">
        <v>62400</v>
      </c>
      <c r="L18" s="0" t="n">
        <f aca="false">3+1</f>
        <v>4</v>
      </c>
      <c r="M18" s="43" t="n">
        <f aca="false">K18*L18</f>
        <v>249600</v>
      </c>
      <c r="N18" s="0" t="s">
        <v>264</v>
      </c>
      <c r="O18" s="58" t="n">
        <f aca="false">+F18/$F$29*$O$29</f>
        <v>8726.43312574016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'[19]Team Report'!BA37</f>
        <v>23628.12</v>
      </c>
      <c r="E19" s="62" t="n">
        <f aca="false">(C19/9)*12*1.2</f>
        <v>37804.992</v>
      </c>
      <c r="F19" s="58" t="n">
        <f aca="false">+E19/$E$29*$L$11</f>
        <v>13905.2844137931</v>
      </c>
      <c r="J19" s="0" t="s">
        <v>124</v>
      </c>
      <c r="K19" s="43" t="n">
        <v>79200</v>
      </c>
      <c r="L19" s="0" t="n">
        <v>2</v>
      </c>
      <c r="M19" s="43" t="n">
        <f aca="false">K19*L19</f>
        <v>158400</v>
      </c>
      <c r="O19" s="58" t="n">
        <f aca="false">+F19/$F$29*$O$29</f>
        <v>421.372254963427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'[19]Team Report'!BA38</f>
        <v>0</v>
      </c>
      <c r="E20" s="62" t="n">
        <f aca="false">(C20/9)*12*1.2</f>
        <v>0</v>
      </c>
      <c r="F20" s="58" t="n">
        <f aca="false">+E20/$E$29*$L$11</f>
        <v>0</v>
      </c>
      <c r="J20" s="0" t="s">
        <v>133</v>
      </c>
      <c r="K20" s="43" t="n">
        <v>96000</v>
      </c>
      <c r="L20" s="0" t="n">
        <v>2</v>
      </c>
      <c r="M20" s="43" t="n">
        <f aca="false">K20*L20</f>
        <v>192000</v>
      </c>
      <c r="O20" s="58" t="n">
        <f aca="false">+F20/$F$29*$O$29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'[19]Team Report'!BA42</f>
        <v>308878.27</v>
      </c>
      <c r="E21" s="62" t="n">
        <f aca="false">(C21/9)*12*1.2</f>
        <v>494205.232</v>
      </c>
      <c r="F21" s="58" t="n">
        <f aca="false">+E21/$E$29*$L$11</f>
        <v>181776.637057471</v>
      </c>
      <c r="J21" s="0" t="s">
        <v>136</v>
      </c>
      <c r="K21" s="43" t="n">
        <v>216000</v>
      </c>
      <c r="L21" s="0" t="n">
        <v>1</v>
      </c>
      <c r="M21" s="43" t="n">
        <f aca="false">K21*L21</f>
        <v>216000</v>
      </c>
      <c r="O21" s="58" t="n">
        <f aca="false">+F21/$F$29*$O$29</f>
        <v>5508.3829411355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'[19]Team Report'!BA44</f>
        <v>30.12</v>
      </c>
      <c r="E22" s="62" t="n">
        <f aca="false">(C22/9)*12*1.2</f>
        <v>48.192</v>
      </c>
      <c r="F22" s="58" t="n">
        <f aca="false">+E22/$E$29*$L$11</f>
        <v>17.7257931034483</v>
      </c>
      <c r="L22" s="0" t="n">
        <f aca="false">SUM(L16:L21)</f>
        <v>12</v>
      </c>
      <c r="M22" s="43" t="n">
        <f aca="false">SUM(M16:M21)*1.2</f>
        <v>1152000</v>
      </c>
      <c r="O22" s="58" t="n">
        <f aca="false">+F22/$F$29*$O$29</f>
        <v>0.537145245559039</v>
      </c>
    </row>
    <row r="23" customFormat="false" ht="13.5" hidden="false" customHeight="false" outlineLevel="0" collapsed="false">
      <c r="A23" s="66" t="s">
        <v>131</v>
      </c>
      <c r="B23" s="67" t="s">
        <v>132</v>
      </c>
      <c r="C23" s="68" t="n">
        <f aca="false">SUM(C8:C22)</f>
        <v>5072700.08</v>
      </c>
      <c r="E23" s="68" t="n">
        <f aca="false">SUM(E8:E22)</f>
        <v>7182449.30666667</v>
      </c>
      <c r="F23" s="68" t="n">
        <f aca="false">SUM(F8:F22)</f>
        <v>4770597.10234483</v>
      </c>
      <c r="O23" s="90" t="n">
        <f aca="false">SUM(O8:O22)</f>
        <v>144563.548555904</v>
      </c>
    </row>
    <row r="24" customFormat="false" ht="12.75" hidden="false" customHeight="false" outlineLevel="0" collapsed="false">
      <c r="J24" s="16" t="s">
        <v>265</v>
      </c>
    </row>
    <row r="25" customFormat="false" ht="12.75" hidden="false" customHeight="false" outlineLevel="0" collapsed="false">
      <c r="B25" s="67" t="s">
        <v>9</v>
      </c>
      <c r="C25" s="58"/>
      <c r="E25" s="71" t="n">
        <v>82</v>
      </c>
      <c r="F25" s="71" t="n">
        <f aca="false">SUM(L16:L21,L25:L27,L31:L36,L40:L42,L46,L49:L50)-1</f>
        <v>32</v>
      </c>
      <c r="J25" s="0" t="s">
        <v>118</v>
      </c>
      <c r="K25" s="43" t="n">
        <v>60000</v>
      </c>
      <c r="L25" s="0" t="n">
        <v>2</v>
      </c>
      <c r="M25" s="43" t="n">
        <f aca="false">K25*L25</f>
        <v>120000</v>
      </c>
      <c r="O25" s="71" t="n">
        <f aca="false">SUM(U16:U20,U23:U27)</f>
        <v>0</v>
      </c>
    </row>
    <row r="26" customFormat="false" ht="12.75" hidden="false" customHeight="false" outlineLevel="0" collapsed="false">
      <c r="C26" s="58"/>
      <c r="E26" s="58"/>
      <c r="F26" s="58"/>
      <c r="J26" s="0" t="s">
        <v>121</v>
      </c>
      <c r="K26" s="43" t="n">
        <v>78000</v>
      </c>
      <c r="L26" s="0" t="n">
        <v>1</v>
      </c>
      <c r="M26" s="43" t="n">
        <f aca="false">K26*L26</f>
        <v>78000</v>
      </c>
      <c r="O26" s="58"/>
    </row>
    <row r="27" customFormat="false" ht="12.75" hidden="false" customHeight="false" outlineLevel="0" collapsed="false">
      <c r="B27" s="67" t="s">
        <v>237</v>
      </c>
      <c r="C27" s="58"/>
      <c r="E27" s="71" t="n">
        <v>5</v>
      </c>
      <c r="F27" s="71" t="n">
        <v>1</v>
      </c>
      <c r="J27" s="0" t="s">
        <v>124</v>
      </c>
      <c r="K27" s="43" t="n">
        <v>102000</v>
      </c>
      <c r="L27" s="0" t="n">
        <v>0</v>
      </c>
      <c r="M27" s="43" t="n">
        <f aca="false">K27*L27</f>
        <v>0</v>
      </c>
      <c r="O27" s="71" t="n">
        <f aca="false">SUM(U21:U22)</f>
        <v>0</v>
      </c>
    </row>
    <row r="28" customFormat="false" ht="12.75" hidden="false" customHeight="false" outlineLevel="0" collapsed="false">
      <c r="L28" s="0" t="n">
        <f aca="false">SUM(L25:L27)</f>
        <v>3</v>
      </c>
      <c r="M28" s="43" t="n">
        <f aca="false">SUM(M25:M27)*1.2</f>
        <v>237600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87</v>
      </c>
      <c r="F29" s="71" t="n">
        <f aca="false">+F27+F25</f>
        <v>33</v>
      </c>
      <c r="G29" s="58"/>
      <c r="H29" s="43"/>
      <c r="O29" s="71" t="n">
        <v>1</v>
      </c>
    </row>
    <row r="30" customFormat="false" ht="11.25" hidden="false" customHeight="true" outlineLevel="0" collapsed="false">
      <c r="J30" s="16" t="s">
        <v>266</v>
      </c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'[19]Team Report'!BA29</f>
        <v>0</v>
      </c>
      <c r="E31" s="58" t="n">
        <f aca="false">(C31/9)*12</f>
        <v>0</v>
      </c>
      <c r="F31" s="58"/>
      <c r="J31" s="0" t="s">
        <v>118</v>
      </c>
      <c r="K31" s="43" t="n">
        <v>49200</v>
      </c>
      <c r="L31" s="0" t="n">
        <v>0</v>
      </c>
      <c r="M31" s="43" t="n">
        <f aca="false">K31*L31</f>
        <v>0</v>
      </c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'[19]Team Report'!BA30</f>
        <v>0</v>
      </c>
      <c r="E32" s="58" t="n">
        <f aca="false">(C32/9)*12</f>
        <v>0</v>
      </c>
      <c r="F32" s="58"/>
      <c r="J32" s="0" t="s">
        <v>121</v>
      </c>
      <c r="K32" s="43" t="n">
        <v>62400</v>
      </c>
      <c r="L32" s="0" t="n">
        <v>2</v>
      </c>
      <c r="M32" s="43" t="n">
        <f aca="false">K32*L32</f>
        <v>124800</v>
      </c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'[19]Team Report'!BA31</f>
        <v>0</v>
      </c>
      <c r="E33" s="58" t="n">
        <f aca="false">(C33/9)*12</f>
        <v>0</v>
      </c>
      <c r="F33" s="58"/>
      <c r="J33" s="0" t="s">
        <v>124</v>
      </c>
      <c r="K33" s="43" t="n">
        <v>74400</v>
      </c>
      <c r="L33" s="0" t="n">
        <f aca="false">2+1</f>
        <v>3</v>
      </c>
      <c r="M33" s="43" t="n">
        <f aca="false">K33*L33</f>
        <v>223200</v>
      </c>
      <c r="N33" s="0" t="s">
        <v>267</v>
      </c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'[19]Team Report'!BA39</f>
        <v>0</v>
      </c>
      <c r="E34" s="58" t="n">
        <f aca="false">(C34/9)*12</f>
        <v>0</v>
      </c>
      <c r="F34" s="58"/>
      <c r="J34" s="0" t="s">
        <v>133</v>
      </c>
      <c r="K34" s="43" t="n">
        <v>90000</v>
      </c>
      <c r="L34" s="0" t="n">
        <v>1</v>
      </c>
      <c r="M34" s="43" t="n">
        <f aca="false">K34*L34</f>
        <v>90000</v>
      </c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'[19]Team Report'!BA40</f>
        <v>25924.2</v>
      </c>
      <c r="E35" s="58" t="n">
        <f aca="false">(C35/9)*12</f>
        <v>34565.6</v>
      </c>
      <c r="F35" s="58"/>
      <c r="J35" s="0" t="s">
        <v>134</v>
      </c>
      <c r="K35" s="43" t="n">
        <v>120000</v>
      </c>
      <c r="L35" s="0" t="n">
        <v>1</v>
      </c>
      <c r="M35" s="43" t="n">
        <f aca="false">K35*L35</f>
        <v>120000</v>
      </c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'[19]Team Report'!BA41</f>
        <v>1904.73</v>
      </c>
      <c r="E36" s="58" t="n">
        <f aca="false">(C36/9)*12</f>
        <v>2539.64</v>
      </c>
      <c r="F36" s="58"/>
      <c r="J36" s="0" t="s">
        <v>136</v>
      </c>
      <c r="K36" s="43" t="n">
        <v>216000</v>
      </c>
      <c r="L36" s="0" t="n">
        <v>1</v>
      </c>
      <c r="M36" s="43" t="n">
        <f aca="false">K36*L36</f>
        <v>216000</v>
      </c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'[19]Team Report'!BA43</f>
        <v>-612901.88</v>
      </c>
      <c r="E37" s="58" t="n">
        <f aca="false">(C37/9)*12</f>
        <v>-817202.506666667</v>
      </c>
      <c r="F37" s="58"/>
      <c r="L37" s="0" t="n">
        <f aca="false">SUM(L31:L36)</f>
        <v>8</v>
      </c>
      <c r="M37" s="43" t="n">
        <f aca="false">SUM(M31:M36)*1.2</f>
        <v>928800</v>
      </c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'[19]Team Report'!BA45</f>
        <v>0</v>
      </c>
      <c r="E38" s="58" t="n">
        <f aca="false">(C38/9)*12</f>
        <v>0</v>
      </c>
      <c r="F38" s="58"/>
    </row>
    <row r="39" customFormat="false" ht="12.75" hidden="true" customHeight="false" outlineLevel="0" collapsed="false">
      <c r="A39" s="56"/>
      <c r="B39" s="57" t="s">
        <v>107</v>
      </c>
      <c r="C39" s="58" t="n">
        <v>5703580</v>
      </c>
      <c r="E39" s="58"/>
      <c r="F39" s="58"/>
      <c r="J39" s="16" t="s">
        <v>62</v>
      </c>
    </row>
    <row r="40" customFormat="false" ht="12.75" hidden="true" customHeight="false" outlineLevel="0" collapsed="false">
      <c r="J40" s="0" t="s">
        <v>115</v>
      </c>
      <c r="K40" s="43" t="n">
        <v>52800</v>
      </c>
      <c r="L40" s="0" t="n">
        <v>1</v>
      </c>
      <c r="M40" s="43" t="n">
        <f aca="false">K40*L40</f>
        <v>52800</v>
      </c>
    </row>
    <row r="41" customFormat="false" ht="12.75" hidden="true" customHeight="false" outlineLevel="0" collapsed="false">
      <c r="C41" s="96" t="n">
        <f aca="false">C23+C31+C32+C33+C34+C35+C36+C37+C38</f>
        <v>4487627.13</v>
      </c>
      <c r="J41" s="0" t="s">
        <v>268</v>
      </c>
      <c r="K41" s="43" t="n">
        <v>195600</v>
      </c>
      <c r="L41" s="0" t="n">
        <f aca="false">2+1</f>
        <v>3</v>
      </c>
      <c r="M41" s="43" t="n">
        <f aca="false">K41*L41</f>
        <v>586800</v>
      </c>
      <c r="N41" s="0" t="s">
        <v>269</v>
      </c>
    </row>
    <row r="42" customFormat="false" ht="12.75" hidden="true" customHeight="false" outlineLevel="0" collapsed="false">
      <c r="J42" s="0" t="s">
        <v>136</v>
      </c>
      <c r="K42" s="43" t="n">
        <v>217200</v>
      </c>
      <c r="L42" s="0" t="n">
        <v>1</v>
      </c>
      <c r="M42" s="43" t="n">
        <f aca="false">K42*L42</f>
        <v>217200</v>
      </c>
    </row>
    <row r="43" customFormat="false" ht="12.75" hidden="true" customHeight="false" outlineLevel="0" collapsed="false">
      <c r="L43" s="0" t="n">
        <f aca="false">SUM(L40:L42)</f>
        <v>5</v>
      </c>
      <c r="M43" s="43" t="n">
        <f aca="false">SUM(M40:M42)*1.2</f>
        <v>1028160</v>
      </c>
    </row>
    <row r="44" customFormat="false" ht="12.75" hidden="true" customHeight="false" outlineLevel="0" collapsed="false">
      <c r="A44" s="16" t="s">
        <v>140</v>
      </c>
      <c r="B44" s="43"/>
      <c r="C44" s="43"/>
      <c r="D44" s="43"/>
    </row>
    <row r="45" customFormat="false" ht="12.75" hidden="true" customHeight="false" outlineLevel="0" collapsed="false">
      <c r="B45" s="43"/>
      <c r="C45" s="43"/>
      <c r="D45" s="43"/>
      <c r="J45" s="16" t="s">
        <v>115</v>
      </c>
    </row>
    <row r="46" customFormat="false" ht="12.75" hidden="true" customHeight="false" outlineLevel="0" collapsed="false">
      <c r="A46" s="73" t="s">
        <v>181</v>
      </c>
      <c r="B46" s="74" t="s">
        <v>142</v>
      </c>
      <c r="C46" s="74" t="s">
        <v>143</v>
      </c>
      <c r="E46" s="74" t="s">
        <v>86</v>
      </c>
      <c r="F46" s="74"/>
      <c r="G46" s="74" t="s">
        <v>144</v>
      </c>
      <c r="J46" s="0" t="s">
        <v>115</v>
      </c>
      <c r="K46" s="43" t="n">
        <v>52800</v>
      </c>
      <c r="L46" s="0" t="n">
        <v>3</v>
      </c>
      <c r="M46" s="43" t="n">
        <f aca="false">K46*L46</f>
        <v>158400</v>
      </c>
    </row>
    <row r="47" customFormat="false" ht="12.75" hidden="true" customHeight="false" outlineLevel="0" collapsed="false">
      <c r="A47" s="75" t="n">
        <f aca="false">SUM(E12:E22)</f>
        <v>2513095.2</v>
      </c>
      <c r="B47" s="103" t="n">
        <f aca="false">+E29</f>
        <v>87</v>
      </c>
      <c r="C47" s="74" t="n">
        <f aca="false">+A47/B47</f>
        <v>28886.1517241379</v>
      </c>
      <c r="D47" s="74"/>
      <c r="E47" s="103" t="n">
        <f aca="false">+L11</f>
        <v>32</v>
      </c>
      <c r="F47" s="103"/>
      <c r="G47" s="43" t="n">
        <f aca="false">+E47*C47</f>
        <v>924356.855172413</v>
      </c>
      <c r="L47" s="0" t="n">
        <f aca="false">SUM(L46)</f>
        <v>3</v>
      </c>
      <c r="M47" s="43" t="n">
        <f aca="false">SUM(M46)*1.2</f>
        <v>190080</v>
      </c>
    </row>
    <row r="48" customFormat="false" ht="12.75" hidden="true" customHeight="false" outlineLevel="0" collapsed="false">
      <c r="J48" s="16" t="s">
        <v>270</v>
      </c>
    </row>
    <row r="49" customFormat="false" ht="12.75" hidden="true" customHeight="false" outlineLevel="0" collapsed="false">
      <c r="J49" s="0" t="s">
        <v>133</v>
      </c>
      <c r="K49" s="43" t="n">
        <v>90000</v>
      </c>
      <c r="L49" s="0" t="n">
        <v>1</v>
      </c>
      <c r="M49" s="43" t="n">
        <f aca="false">K49*L49</f>
        <v>90000</v>
      </c>
    </row>
    <row r="50" customFormat="false" ht="12.75" hidden="true" customHeight="false" outlineLevel="0" collapsed="false">
      <c r="J50" s="0" t="s">
        <v>134</v>
      </c>
      <c r="K50" s="43" t="n">
        <v>168000</v>
      </c>
      <c r="L50" s="0" t="n">
        <v>1</v>
      </c>
      <c r="M50" s="43" t="n">
        <f aca="false">K50*L50</f>
        <v>168000</v>
      </c>
    </row>
    <row r="51" customFormat="false" ht="12.75" hidden="true" customHeight="false" outlineLevel="0" collapsed="false">
      <c r="L51" s="0" t="n">
        <f aca="false">SUM(L50)</f>
        <v>1</v>
      </c>
      <c r="M51" s="43" t="n">
        <f aca="false">SUM(M49:M50)*1.2</f>
        <v>309600</v>
      </c>
    </row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customFormat="false" ht="12.75" hidden="true" customHeight="false" outlineLevel="0" collapsed="false"/>
    <row r="99" customFormat="false" ht="12.75" hidden="true" customHeight="false" outlineLevel="0" collapsed="false"/>
    <row r="100" customFormat="false" ht="12.75" hidden="true" customHeight="false" outlineLevel="0" collapsed="false"/>
    <row r="101" customFormat="false" ht="12.75" hidden="true" customHeight="false" outlineLevel="0" collapsed="false"/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  <row r="118" customFormat="false" ht="12.75" hidden="true" customHeight="false" outlineLevel="0" collapsed="false"/>
    <row r="119" customFormat="false" ht="12.75" hidden="true" customHeight="false" outlineLevel="0" collapsed="false"/>
    <row r="120" customFormat="false" ht="12.75" hidden="true" customHeight="false" outlineLevel="0" collapsed="false"/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/>
    <row r="124" customFormat="false" ht="12.75" hidden="true" customHeight="false" outlineLevel="0" collapsed="false"/>
    <row r="125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1.0097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43" width="10.41"/>
    <col collapsed="false" customWidth="true" hidden="true" outlineLevel="0" max="12" min="12" style="43" width="10.85"/>
    <col collapsed="false" customWidth="true" hidden="true" outlineLevel="0" max="13" min="13" style="43" width="11.42"/>
    <col collapsed="false" customWidth="true" hidden="true" outlineLevel="0" max="15" min="14" style="0" width="9.14"/>
    <col collapsed="false" customWidth="false" hidden="true" outlineLevel="0" max="49" min="16" style="0" width="9.06"/>
  </cols>
  <sheetData>
    <row r="1" customFormat="false" ht="18" hidden="false" customHeight="false" outlineLevel="0" collapsed="false">
      <c r="B1" s="44" t="str">
        <f aca="false">'[20]Team Report'!B1</f>
        <v>Enron North America</v>
      </c>
      <c r="C1" s="44"/>
      <c r="D1" s="44"/>
      <c r="E1" s="44"/>
      <c r="F1" s="44"/>
      <c r="G1" s="46"/>
      <c r="H1" s="46"/>
      <c r="I1" s="46"/>
      <c r="J1" s="46"/>
      <c r="K1" s="45"/>
      <c r="L1" s="45"/>
      <c r="M1" s="45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customFormat="false" ht="18" hidden="false" customHeight="false" outlineLevel="0" collapsed="false">
      <c r="B2" s="44" t="s">
        <v>62</v>
      </c>
      <c r="C2" s="44"/>
      <c r="D2" s="44"/>
      <c r="E2" s="44"/>
      <c r="F2" s="44"/>
      <c r="G2" s="46"/>
      <c r="H2" s="46"/>
      <c r="I2" s="46"/>
      <c r="J2" s="46"/>
      <c r="K2" s="45"/>
      <c r="L2" s="45"/>
      <c r="M2" s="45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customFormat="false" ht="18" hidden="false" customHeight="false" outlineLevel="0" collapsed="false">
      <c r="B3" s="47" t="s">
        <v>5</v>
      </c>
      <c r="C3" s="47"/>
      <c r="D3" s="47"/>
      <c r="E3" s="47"/>
      <c r="F3" s="47"/>
      <c r="G3" s="48"/>
      <c r="H3" s="48"/>
      <c r="I3" s="48"/>
      <c r="J3" s="48"/>
      <c r="K3" s="45"/>
      <c r="L3" s="45"/>
      <c r="M3" s="45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customFormat="false" ht="13.5" hidden="false" customHeight="false" outlineLevel="0" collapsed="false">
      <c r="J4" s="97" t="s">
        <v>62</v>
      </c>
      <c r="K4" s="97"/>
      <c r="L4" s="97"/>
      <c r="M4" s="97"/>
    </row>
    <row r="5" customFormat="false" ht="12.75" hidden="false" customHeight="false" outlineLevel="0" collapsed="false">
      <c r="J5" s="79"/>
      <c r="K5" s="50"/>
      <c r="L5" s="50"/>
      <c r="M5" s="51"/>
    </row>
    <row r="6" customFormat="false" ht="12.75" hidden="false" customHeight="false" outlineLevel="0" collapsed="false">
      <c r="C6" s="54" t="n">
        <v>37135</v>
      </c>
      <c r="E6" s="94" t="n">
        <v>2001</v>
      </c>
      <c r="F6" s="94" t="s">
        <v>90</v>
      </c>
      <c r="J6" s="82"/>
      <c r="K6" s="74" t="s">
        <v>85</v>
      </c>
      <c r="L6" s="74" t="s">
        <v>86</v>
      </c>
      <c r="M6" s="98" t="s">
        <v>196</v>
      </c>
      <c r="O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 t="s">
        <v>94</v>
      </c>
      <c r="J7" s="82"/>
      <c r="M7" s="5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99" t="n">
        <f aca="false">'[20]Team Report'!BA25</f>
        <v>10228335.79</v>
      </c>
      <c r="E8" s="58" t="n">
        <f aca="false">(C8/9)*12</f>
        <v>13637781.0533333</v>
      </c>
      <c r="F8" s="58" t="n">
        <f aca="false">M21+M25+M26+M27+M28+360800</f>
        <v>3230000</v>
      </c>
      <c r="J8" s="82"/>
      <c r="M8" s="53"/>
      <c r="O8" s="58" t="n">
        <f aca="false">+F8/$F$29*$O$29</f>
        <v>153809.523809524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(C9/9)*12</f>
        <v>0</v>
      </c>
      <c r="F9" s="58"/>
      <c r="J9" s="82" t="s">
        <v>96</v>
      </c>
      <c r="K9" s="43" t="n">
        <v>0</v>
      </c>
      <c r="L9" s="43" t="n">
        <f aca="false">L29</f>
        <v>21</v>
      </c>
      <c r="M9" s="53" t="n">
        <f aca="false">M33</f>
        <v>3954960</v>
      </c>
      <c r="O9" s="58" t="n">
        <f aca="false">+F9/$F$29*$O$29</f>
        <v>0</v>
      </c>
    </row>
    <row r="10" customFormat="false" ht="12.75" hidden="true" customHeight="false" outlineLevel="0" collapsed="false">
      <c r="A10" s="56"/>
      <c r="B10" s="57" t="s">
        <v>198</v>
      </c>
      <c r="C10" s="58" t="n">
        <v>0</v>
      </c>
      <c r="E10" s="58" t="n">
        <f aca="false">(C10/9)*12</f>
        <v>0</v>
      </c>
      <c r="F10" s="58"/>
      <c r="J10" s="82"/>
      <c r="M10" s="53"/>
      <c r="O10" s="58" t="n">
        <f aca="false">+F10/$F$29*$O$29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'[20]Team Report'!BA26</f>
        <v>1877442.13</v>
      </c>
      <c r="E11" s="58" t="n">
        <f aca="false">(C11/9)*12</f>
        <v>2503256.17333333</v>
      </c>
      <c r="F11" s="58" t="n">
        <f aca="false">F8*0.2</f>
        <v>646000</v>
      </c>
      <c r="J11" s="82"/>
      <c r="M11" s="53"/>
      <c r="O11" s="58" t="n">
        <f aca="false">+F11/$F$29*$O$29</f>
        <v>30761.9047619048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'[20]Team Report'!BA27</f>
        <v>405632.98</v>
      </c>
      <c r="E12" s="58" t="n">
        <f aca="false">((C12/9)*12)*2.6</f>
        <v>1406194.33066667</v>
      </c>
      <c r="F12" s="58" t="n">
        <f aca="false">E12/$E$29*$L$12+179963</f>
        <v>445999.765261261</v>
      </c>
      <c r="J12" s="82" t="s">
        <v>67</v>
      </c>
      <c r="K12" s="43" t="n">
        <f aca="false">(E12+E13+E15+E16+E17+E18+E19+E20+E21+E22)/E29</f>
        <v>50608.3852504505</v>
      </c>
      <c r="L12" s="43" t="n">
        <f aca="false">L29</f>
        <v>21</v>
      </c>
      <c r="M12" s="53" t="n">
        <f aca="false">K12*L12+5000000</f>
        <v>6062776.09025946</v>
      </c>
      <c r="O12" s="58" t="n">
        <f aca="false">+F12/$F$29*$O$29</f>
        <v>21238.0840600601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'[20]Team Report'!BA28</f>
        <v>648740.17</v>
      </c>
      <c r="E13" s="58" t="n">
        <f aca="false">((C13/9)*12)*2.13</f>
        <v>1842422.0828</v>
      </c>
      <c r="F13" s="58" t="n">
        <f aca="false">E13/$E$29*$L$12+68434</f>
        <v>417000.339989189</v>
      </c>
      <c r="J13" s="82"/>
      <c r="M13" s="53"/>
      <c r="O13" s="58" t="n">
        <f aca="false">+F13/$F$29*$O$29</f>
        <v>19857.1590471042</v>
      </c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v>0</v>
      </c>
      <c r="E14" s="58" t="n">
        <v>0</v>
      </c>
      <c r="F14" s="58" t="n">
        <v>3500000</v>
      </c>
      <c r="J14" s="87" t="s">
        <v>105</v>
      </c>
      <c r="K14" s="64"/>
      <c r="L14" s="64"/>
      <c r="M14" s="65" t="n">
        <f aca="false">SUM(M9:M12)</f>
        <v>10017736.0902595</v>
      </c>
      <c r="O14" s="58" t="n">
        <f aca="false">+F14/$F$29*$O$29</f>
        <v>166666.666666667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'[20]Team Report'!BA33</f>
        <v>76876.32</v>
      </c>
      <c r="E15" s="58" t="n">
        <f aca="false">((C15/9)*12)*2.1</f>
        <v>215253.696</v>
      </c>
      <c r="F15" s="58" t="n">
        <f aca="false">E15/$E$29*$L$12+4276</f>
        <v>44999.6722162162</v>
      </c>
      <c r="I15" s="60" t="n">
        <f aca="false">M14-F23</f>
        <v>1326287</v>
      </c>
      <c r="J15" s="21"/>
      <c r="O15" s="58" t="n">
        <f aca="false">+F15/$F$29*$O$29</f>
        <v>2142.84153410553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'[20]Team Report'!BA34</f>
        <v>0</v>
      </c>
      <c r="E16" s="58" t="n">
        <f aca="false">((C16/9)*12)*1.2</f>
        <v>0</v>
      </c>
      <c r="F16" s="58" t="n">
        <f aca="false">E16/$E$29*$L$12</f>
        <v>0</v>
      </c>
      <c r="J16" s="21"/>
      <c r="L16" s="100"/>
      <c r="O16" s="58" t="n">
        <f aca="false">+F16/$F$29*$O$29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'[20]Team Report'!BA35</f>
        <v>0</v>
      </c>
      <c r="E17" s="58" t="n">
        <f aca="false">((C17/9)*12)*1.2</f>
        <v>0</v>
      </c>
      <c r="F17" s="58" t="n">
        <f aca="false">E17/$E$29*$L$12</f>
        <v>0</v>
      </c>
      <c r="J17" s="0" t="s">
        <v>177</v>
      </c>
      <c r="K17" s="43" t="n">
        <v>33600</v>
      </c>
      <c r="L17" s="43" t="n">
        <v>0</v>
      </c>
      <c r="M17" s="43" t="n">
        <f aca="false">K17*L17</f>
        <v>0</v>
      </c>
      <c r="O17" s="58" t="n">
        <f aca="false">+F17/$F$29*$O$29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'[20]Team Report'!BA36</f>
        <v>5744.1</v>
      </c>
      <c r="E18" s="58" t="n">
        <f aca="false">((C18/9)*12)*1.6</f>
        <v>12254.08</v>
      </c>
      <c r="F18" s="58" t="n">
        <f aca="false">E18/$E$29*$L$12</f>
        <v>2318.33945945946</v>
      </c>
      <c r="J18" s="0" t="s">
        <v>115</v>
      </c>
      <c r="K18" s="43" t="n">
        <v>52800</v>
      </c>
      <c r="L18" s="43" t="n">
        <v>2</v>
      </c>
      <c r="M18" s="43" t="n">
        <f aca="false">K18*L18</f>
        <v>105600</v>
      </c>
      <c r="O18" s="58" t="n">
        <f aca="false">+F18/$F$29*$O$29</f>
        <v>110.397117117117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'[20]Team Report'!BA37</f>
        <v>67058.6</v>
      </c>
      <c r="E19" s="58" t="n">
        <f aca="false">((C19/9)*12)*1.85</f>
        <v>165411.213333333</v>
      </c>
      <c r="F19" s="58" t="n">
        <f aca="false">E19/$E$29*$L$12</f>
        <v>31294.0133333333</v>
      </c>
      <c r="J19" s="0" t="s">
        <v>118</v>
      </c>
      <c r="K19" s="43" t="n">
        <v>54000</v>
      </c>
      <c r="L19" s="43" t="n">
        <v>0</v>
      </c>
      <c r="M19" s="43" t="n">
        <f aca="false">K19*L19</f>
        <v>0</v>
      </c>
      <c r="O19" s="58" t="n">
        <f aca="false">+F19/$F$29*$O$29</f>
        <v>1490.19111111111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'[20]Team Report'!BA38</f>
        <v>0</v>
      </c>
      <c r="E20" s="58" t="n">
        <f aca="false">((C20/9)*12)*1.2</f>
        <v>0</v>
      </c>
      <c r="F20" s="58" t="n">
        <f aca="false">E20/$E$29*$L$12</f>
        <v>0</v>
      </c>
      <c r="J20" s="0" t="s">
        <v>121</v>
      </c>
      <c r="K20" s="43" t="n">
        <v>63000</v>
      </c>
      <c r="L20" s="43" t="n">
        <v>3</v>
      </c>
      <c r="M20" s="43" t="n">
        <f aca="false">K20*L20</f>
        <v>189000</v>
      </c>
      <c r="O20" s="58" t="n">
        <f aca="false">+F20/$F$29*$O$29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'[20]Team Report'!BA42</f>
        <v>842429.76</v>
      </c>
      <c r="E21" s="58" t="n">
        <f aca="false">((C21/9)*12)*1.75</f>
        <v>1965669.44</v>
      </c>
      <c r="F21" s="58" t="n">
        <f aca="false">E21/$E$29*$L$12</f>
        <v>371883.407567568</v>
      </c>
      <c r="J21" s="0" t="s">
        <v>124</v>
      </c>
      <c r="K21" s="43" t="n">
        <v>78000</v>
      </c>
      <c r="L21" s="43" t="n">
        <v>0</v>
      </c>
      <c r="M21" s="43" t="n">
        <f aca="false">K21*L21</f>
        <v>0</v>
      </c>
      <c r="O21" s="58" t="n">
        <f aca="false">+F21/$F$29*$O$29</f>
        <v>17708.7336936937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'[20]Team Report'!BA44</f>
        <v>6453.7</v>
      </c>
      <c r="E22" s="58" t="n">
        <f aca="false">((C22/9)*12)*1.2</f>
        <v>10325.92</v>
      </c>
      <c r="F22" s="58" t="n">
        <f aca="false">E22/$E$29*$L$12</f>
        <v>1953.55243243243</v>
      </c>
      <c r="J22" s="0" t="s">
        <v>127</v>
      </c>
      <c r="K22" s="43" t="n">
        <v>66000</v>
      </c>
      <c r="L22" s="43" t="n">
        <v>0</v>
      </c>
      <c r="M22" s="43" t="n">
        <f aca="false">K22*L22</f>
        <v>0</v>
      </c>
      <c r="O22" s="58" t="n">
        <f aca="false">+F22/$F$29*$O$29</f>
        <v>93.0263063063063</v>
      </c>
    </row>
    <row r="23" customFormat="false" ht="13.5" hidden="false" customHeight="false" outlineLevel="0" collapsed="false">
      <c r="A23" s="66" t="s">
        <v>131</v>
      </c>
      <c r="B23" s="67" t="s">
        <v>132</v>
      </c>
      <c r="C23" s="68" t="n">
        <f aca="false">SUM(C8:C22)</f>
        <v>14158713.55</v>
      </c>
      <c r="E23" s="68" t="n">
        <f aca="false">SUM(E8:E22)</f>
        <v>21758567.9894667</v>
      </c>
      <c r="F23" s="68" t="n">
        <f aca="false">SUM(F8:F22)</f>
        <v>8691449.09025946</v>
      </c>
      <c r="J23" s="0" t="s">
        <v>130</v>
      </c>
      <c r="K23" s="43" t="n">
        <v>97200</v>
      </c>
      <c r="L23" s="43" t="n">
        <v>0</v>
      </c>
      <c r="M23" s="43" t="n">
        <f aca="false">K23*L23</f>
        <v>0</v>
      </c>
      <c r="O23" s="90" t="n">
        <f aca="false">SUM(O8:O22)</f>
        <v>413878.528107593</v>
      </c>
    </row>
    <row r="24" customFormat="false" ht="12.75" hidden="false" customHeight="false" outlineLevel="0" collapsed="false">
      <c r="J24" s="0" t="s">
        <v>133</v>
      </c>
      <c r="K24" s="43" t="n">
        <v>132000</v>
      </c>
      <c r="L24" s="43" t="n">
        <v>1</v>
      </c>
      <c r="M24" s="43" t="n">
        <f aca="false">K24*L24</f>
        <v>132000</v>
      </c>
    </row>
    <row r="25" customFormat="false" ht="12.75" hidden="false" customHeight="false" outlineLevel="0" collapsed="false">
      <c r="B25" s="67" t="s">
        <v>9</v>
      </c>
      <c r="C25" s="101"/>
      <c r="E25" s="101" t="n">
        <v>111</v>
      </c>
      <c r="F25" s="102" t="n">
        <f aca="false">+L29</f>
        <v>21</v>
      </c>
      <c r="J25" s="0" t="s">
        <v>249</v>
      </c>
      <c r="K25" s="43" t="n">
        <v>178800</v>
      </c>
      <c r="L25" s="43" t="n">
        <v>9</v>
      </c>
      <c r="M25" s="43" t="n">
        <f aca="false">K25*L25</f>
        <v>1609200</v>
      </c>
      <c r="O25" s="71" t="n">
        <f aca="false">SUM(U16:U20,U23:U27)</f>
        <v>0</v>
      </c>
    </row>
    <row r="26" customFormat="false" ht="12.75" hidden="false" customHeight="false" outlineLevel="0" collapsed="false">
      <c r="J26" s="0" t="s">
        <v>271</v>
      </c>
      <c r="K26" s="43" t="n">
        <v>195600</v>
      </c>
      <c r="L26" s="43" t="n">
        <v>2</v>
      </c>
      <c r="M26" s="43" t="n">
        <f aca="false">K26*L26</f>
        <v>391200</v>
      </c>
      <c r="O26" s="58"/>
    </row>
    <row r="27" customFormat="false" ht="12.75" hidden="false" customHeight="false" outlineLevel="0" collapsed="false">
      <c r="B27" s="67" t="s">
        <v>137</v>
      </c>
      <c r="C27" s="101"/>
      <c r="E27" s="101"/>
      <c r="F27" s="101"/>
      <c r="J27" s="0" t="s">
        <v>272</v>
      </c>
      <c r="K27" s="43" t="n">
        <v>217200</v>
      </c>
      <c r="L27" s="43" t="n">
        <v>4</v>
      </c>
      <c r="M27" s="43" t="n">
        <f aca="false">K27*L27</f>
        <v>868800</v>
      </c>
      <c r="O27" s="71" t="n">
        <f aca="false">SUM(U21:U22)</f>
        <v>0</v>
      </c>
    </row>
    <row r="28" customFormat="false" ht="12.75" hidden="false" customHeight="false" outlineLevel="0" collapsed="false">
      <c r="J28" s="0" t="s">
        <v>138</v>
      </c>
      <c r="K28" s="43" t="n">
        <v>345600</v>
      </c>
      <c r="L28" s="43" t="n">
        <v>0</v>
      </c>
      <c r="M28" s="43" t="n">
        <f aca="false">K28*L28</f>
        <v>0</v>
      </c>
    </row>
    <row r="29" customFormat="false" ht="12.75" hidden="false" customHeight="false" outlineLevel="0" collapsed="false">
      <c r="B29" s="67" t="s">
        <v>139</v>
      </c>
      <c r="C29" s="101"/>
      <c r="E29" s="101" t="n">
        <f aca="false">SUM(E25:E28)</f>
        <v>111</v>
      </c>
      <c r="F29" s="101" t="n">
        <f aca="false">SUM(F25:F28)</f>
        <v>21</v>
      </c>
      <c r="L29" s="43" t="n">
        <f aca="false">SUM(L17:L28)</f>
        <v>21</v>
      </c>
      <c r="M29" s="43" t="n">
        <f aca="false">SUM(M17:M28)</f>
        <v>3295800</v>
      </c>
      <c r="O29" s="71" t="n">
        <v>1</v>
      </c>
    </row>
    <row r="30" customFormat="false" ht="12.75" hidden="false" customHeight="false" outlineLevel="0" collapsed="false">
      <c r="B30" s="67"/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'[20]Team Report'!BA29</f>
        <v>-24140467.68</v>
      </c>
      <c r="E31" s="58" t="n">
        <f aca="false">(C31/9)*12</f>
        <v>-32187290.24</v>
      </c>
      <c r="F31" s="58"/>
      <c r="J31" s="0" t="s">
        <v>228</v>
      </c>
      <c r="L31" s="72"/>
      <c r="M31" s="72" t="n">
        <v>0.2</v>
      </c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'[20]Team Report'!BA30</f>
        <v>0</v>
      </c>
      <c r="E32" s="58" t="n">
        <f aca="false">(C32/9)*12</f>
        <v>0</v>
      </c>
      <c r="F32" s="58"/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'[20]Team Report'!BA31</f>
        <v>0</v>
      </c>
      <c r="E33" s="58" t="n">
        <f aca="false">(C33/9)*12</f>
        <v>0</v>
      </c>
      <c r="F33" s="58"/>
      <c r="M33" s="43" t="n">
        <f aca="false">M29*1.2</f>
        <v>3954960</v>
      </c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'[20]Team Report'!BA39</f>
        <v>0</v>
      </c>
      <c r="E34" s="58" t="n">
        <f aca="false">(C34/9)*12</f>
        <v>0</v>
      </c>
      <c r="F34" s="58"/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'[20]Team Report'!BA40</f>
        <v>164920.93</v>
      </c>
      <c r="E35" s="58" t="n">
        <f aca="false">(C35/9)*12</f>
        <v>219894.573333333</v>
      </c>
      <c r="F35" s="58"/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'[20]Team Report'!BA41</f>
        <v>945381.27</v>
      </c>
      <c r="E36" s="58" t="n">
        <f aca="false">(C36/9)*12</f>
        <v>1260508.36</v>
      </c>
      <c r="F36" s="58"/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'[20]Team Report'!BA43</f>
        <v>-5121278.52</v>
      </c>
      <c r="E37" s="58" t="n">
        <f aca="false">(C37/9)*12</f>
        <v>-6828371.36</v>
      </c>
      <c r="F37" s="58"/>
      <c r="I37" s="16" t="s">
        <v>140</v>
      </c>
      <c r="J37" s="43"/>
      <c r="M37" s="0"/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'[20]Team Report'!BA45</f>
        <v>0</v>
      </c>
      <c r="E38" s="58" t="n">
        <f aca="false">(C38/9)*12</f>
        <v>0</v>
      </c>
      <c r="F38" s="58"/>
      <c r="J38" s="43"/>
      <c r="M38" s="0"/>
    </row>
    <row r="39" customFormat="false" ht="12.75" hidden="true" customHeight="false" outlineLevel="0" collapsed="false">
      <c r="A39" s="56" t="s">
        <v>106</v>
      </c>
      <c r="B39" s="57" t="s">
        <v>107</v>
      </c>
      <c r="C39" s="58" t="n">
        <v>24143776.43</v>
      </c>
      <c r="E39" s="58" t="n">
        <v>32191701.9066667</v>
      </c>
      <c r="F39" s="58"/>
      <c r="I39" s="73" t="s">
        <v>141</v>
      </c>
      <c r="J39" s="74" t="s">
        <v>142</v>
      </c>
      <c r="K39" s="74" t="s">
        <v>143</v>
      </c>
      <c r="L39" s="74" t="s">
        <v>86</v>
      </c>
      <c r="M39" s="74" t="s">
        <v>144</v>
      </c>
    </row>
    <row r="40" customFormat="false" ht="12.75" hidden="false" customHeight="false" outlineLevel="0" collapsed="false">
      <c r="I40" s="75" t="n">
        <f aca="false">SUM(E12:E22)</f>
        <v>5617530.7628</v>
      </c>
      <c r="J40" s="103" t="n">
        <f aca="false">+E29</f>
        <v>111</v>
      </c>
      <c r="K40" s="74" t="n">
        <f aca="false">+I40/J40</f>
        <v>50608.3852504505</v>
      </c>
      <c r="L40" s="74" t="n">
        <f aca="false">+L12</f>
        <v>21</v>
      </c>
      <c r="M40" s="74" t="n">
        <f aca="false">+K40*L40</f>
        <v>1062776.09025946</v>
      </c>
      <c r="N40" s="43"/>
    </row>
    <row r="41" customFormat="false" ht="12.75" hidden="false" customHeight="false" outlineLevel="0" collapsed="false">
      <c r="K41" s="0"/>
      <c r="M41" s="0"/>
    </row>
    <row r="42" customFormat="false" ht="12.75" hidden="false" customHeight="false" outlineLevel="0" collapsed="false">
      <c r="I42" s="0" t="s">
        <v>273</v>
      </c>
      <c r="K42" s="0"/>
      <c r="M42" s="0"/>
    </row>
    <row r="44" customFormat="false" ht="12.75" hidden="false" customHeight="false" outlineLevel="0" collapsed="false">
      <c r="C44" s="96" t="n">
        <f aca="false">C23+C31+C32+C33+C34+C35+C36+C37+C38</f>
        <v>-13992730.45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274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Q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Q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f aca="false">+'Competitive Ana'!F8+'Gas - Fund'!H8+'East - Fund'!F8+'West - Fund'!G8</f>
        <v>1811380</v>
      </c>
      <c r="I8" s="52" t="s">
        <v>96</v>
      </c>
      <c r="J8" s="43" t="n">
        <v>0</v>
      </c>
      <c r="L8" s="53" t="n">
        <f aca="false">L30</f>
        <v>2208096</v>
      </c>
      <c r="Q8" s="58" t="n">
        <f aca="false">+H8/$H$29*$Q$29</f>
        <v>54890.303030303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8" t="n">
        <v>0</v>
      </c>
      <c r="G9" s="59" t="n">
        <f aca="false">E9/$E$23</f>
        <v>0</v>
      </c>
      <c r="H9" s="58" t="n">
        <f aca="false">+'Competitive Ana'!F9+'Gas - Fund'!H9+'East - Fund'!F9+'West - Fund'!G9</f>
        <v>0</v>
      </c>
      <c r="I9" s="52"/>
      <c r="L9" s="53"/>
      <c r="Q9" s="58" t="n">
        <f aca="false">+H9/$H$29*$Q$29</f>
        <v>0</v>
      </c>
    </row>
    <row r="10" customFormat="false" ht="12.75" hidden="false" customHeight="false" outlineLevel="0" collapsed="false">
      <c r="A10" s="56"/>
      <c r="B10" s="57" t="s">
        <v>98</v>
      </c>
      <c r="C10" s="58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8"/>
      <c r="E10" s="58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9" t="n">
        <f aca="false">E10/$E$23</f>
        <v>0.00377976191391553</v>
      </c>
      <c r="H10" s="58" t="n">
        <f aca="false">+'Competitive Ana'!F10+'Gas - Fund'!H10+'East - Fund'!F10+'West - Fund'!G10</f>
        <v>1269500</v>
      </c>
      <c r="I10" s="52"/>
      <c r="L10" s="53"/>
      <c r="Q10" s="58" t="n">
        <f aca="false">+H10/$H$29*$Q$29</f>
        <v>38469.696969697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+'Competitive Ana'!F11+'Gas - Fund'!H11+'East - Fund'!F11+'West - Fund'!G11</f>
        <v>616176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17</v>
      </c>
      <c r="L11" s="53" t="n">
        <f aca="false">J11*K11</f>
        <v>820593.08125</v>
      </c>
      <c r="Q11" s="58" t="n">
        <f aca="false">+H11/$H$29*$Q$29</f>
        <v>18672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f aca="false">+'Competitive Ana'!F12+'Gas - Fund'!H12+'East - Fund'!F12+'West - Fund'!G12</f>
        <v>179533.479174265</v>
      </c>
      <c r="I12" s="52"/>
      <c r="L12" s="53"/>
      <c r="Q12" s="58" t="n">
        <f aca="false">+H12/$H$29*$Q$29</f>
        <v>5440.40845982622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f aca="false">+'Competitive Ana'!F13+'Gas - Fund'!H13+'East - Fund'!F13+'West - Fund'!G13</f>
        <v>240573.79887386</v>
      </c>
      <c r="I13" s="63" t="s">
        <v>105</v>
      </c>
      <c r="J13" s="64"/>
      <c r="K13" s="64"/>
      <c r="L13" s="65" t="n">
        <f aca="false">L8+L11</f>
        <v>3028689.08125</v>
      </c>
      <c r="N13" s="43" t="n">
        <v>24109311.029375</v>
      </c>
      <c r="P13" s="60" t="n">
        <f aca="false">N13-L13</f>
        <v>21080621.948125</v>
      </c>
      <c r="Q13" s="58" t="n">
        <f aca="false">+H13/$H$29*$Q$29</f>
        <v>7290.1151173897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f aca="false">+'Competitive Ana'!F14+'Gas - Fund'!H14+'East - Fund'!F14+'West - Fund'!G14</f>
        <v>2035600.00942857</v>
      </c>
      <c r="Q14" s="58" t="n">
        <f aca="false">+H14/$H$29*$Q$29</f>
        <v>61684.8487705628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f aca="false">+'Competitive Ana'!F15+'Gas - Fund'!H15+'East - Fund'!F15+'West - Fund'!G15</f>
        <v>46295.7059316109</v>
      </c>
      <c r="Q15" s="58" t="n">
        <f aca="false">+H15/$H$29*$Q$29</f>
        <v>1402.90017974579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f aca="false">+'Competitive Ana'!F16+'Gas - Fund'!H16+'East - Fund'!F16+'West - Fund'!G16</f>
        <v>0</v>
      </c>
      <c r="I16" s="43" t="s">
        <v>112</v>
      </c>
      <c r="J16" s="43" t="n">
        <v>33000</v>
      </c>
      <c r="K16" s="43" t="n">
        <v>1</v>
      </c>
      <c r="L16" s="43" t="n">
        <f aca="false">J16*K16</f>
        <v>33000</v>
      </c>
      <c r="Q16" s="58" t="n">
        <f aca="false">+H16/$H$29*$Q$29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f aca="false">+'Competitive Ana'!F17+'Gas - Fund'!H17+'East - Fund'!F17+'West - Fund'!G17</f>
        <v>1109.32624113475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Q17" s="58" t="n">
        <f aca="false">+H17/$H$29*$Q$29</f>
        <v>33.6159467010531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f aca="false">+'Competitive Ana'!F18+'Gas - Fund'!H18+'East - Fund'!F18+'West - Fund'!G18</f>
        <v>19073.5936033435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Q18" s="58" t="n">
        <f aca="false">+H18/$H$29*$Q$29</f>
        <v>577.987684949802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f aca="false">+'Competitive Ana'!F19+'Gas - Fund'!H19+'East - Fund'!F19+'West - Fund'!G19</f>
        <v>168546.138956377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Q19" s="58" t="n">
        <f aca="false">+H19/$H$29*$Q$29</f>
        <v>5107.45875625384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f aca="false">+'Competitive Ana'!F20+'Gas - Fund'!H20+'East - Fund'!F20+'West - Fund'!G20</f>
        <v>10.5023044579534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Q20" s="58" t="n">
        <f aca="false">+H20/$H$29*$Q$29</f>
        <v>0.318251650241012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f aca="false">+'Competitive Ana'!F21+'Gas - Fund'!H21+'East - Fund'!F21+'West - Fund'!G21</f>
        <v>193730.093705708</v>
      </c>
      <c r="I21" s="43" t="s">
        <v>127</v>
      </c>
      <c r="J21" s="43" t="n">
        <v>60500</v>
      </c>
      <c r="K21" s="43" t="n">
        <v>6</v>
      </c>
      <c r="L21" s="43" t="n">
        <f aca="false">J21*K21</f>
        <v>363000</v>
      </c>
      <c r="Q21" s="58" t="n">
        <f aca="false">+H21/$H$29*$Q$29</f>
        <v>5870.60890017297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f aca="false">+'Competitive Ana'!F22+'Gas - Fund'!H22+'East - Fund'!F22+'West - Fund'!G22</f>
        <v>140838.436165284</v>
      </c>
      <c r="I22" s="43" t="s">
        <v>130</v>
      </c>
      <c r="J22" s="43" t="n">
        <v>89100</v>
      </c>
      <c r="K22" s="43" t="n">
        <v>4</v>
      </c>
      <c r="L22" s="43" t="n">
        <f aca="false">J22*K22</f>
        <v>356400</v>
      </c>
      <c r="Q22" s="58" t="n">
        <f aca="false">+H22/$H$29*$Q$29</f>
        <v>4267.83139894799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6722367.08438461</v>
      </c>
      <c r="I23" s="43" t="s">
        <v>133</v>
      </c>
      <c r="J23" s="43" t="n">
        <v>110000</v>
      </c>
      <c r="K23" s="43" t="n">
        <v>4</v>
      </c>
      <c r="L23" s="43" t="n">
        <f aca="false">J23*K23</f>
        <v>440000</v>
      </c>
      <c r="Q23" s="68" t="n">
        <f aca="false">SUM(Q8:Q22)</f>
        <v>203708.0934662</v>
      </c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1</v>
      </c>
      <c r="L24" s="43" t="n">
        <f aca="false">J24*K24</f>
        <v>143000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1" t="n">
        <f aca="false">+'Competitive Ana'!F25+'Gas - Fund'!H25+'East - Fund'!F25+'West - Fund'!G25</f>
        <v>16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Q25" s="71" t="n">
        <f aca="false">+T16+T17+T18+T19+T20+T23+T24+T25+T26+T27</f>
        <v>0</v>
      </c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1</v>
      </c>
      <c r="L26" s="43" t="n">
        <f aca="false">J26*K26</f>
        <v>198000</v>
      </c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1" t="n">
        <f aca="false">+'Competitive Ana'!F27+'Gas - Fund'!H27+'East - Fund'!F27+'West - Fund'!G27</f>
        <v>17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Q27" s="71" t="n">
        <f aca="false">+T21+T22</f>
        <v>0</v>
      </c>
    </row>
    <row r="28" customFormat="false" ht="12.75" hidden="false" customHeight="false" outlineLevel="0" collapsed="false">
      <c r="K28" s="43" t="n">
        <f aca="false">SUM(K16:K27)</f>
        <v>17</v>
      </c>
      <c r="L28" s="43" t="n">
        <f aca="false">SUM(L16:L27)*1.2</f>
        <v>1840080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33</v>
      </c>
      <c r="L29" s="72" t="n">
        <v>0.2</v>
      </c>
      <c r="Q29" s="71" t="n">
        <v>1</v>
      </c>
    </row>
    <row r="30" customFormat="false" ht="12.75" hidden="true" customHeight="false" outlineLevel="0" collapsed="false">
      <c r="L30" s="43" t="n">
        <f aca="false">L28*1.2</f>
        <v>2208096</v>
      </c>
    </row>
    <row r="31" customFormat="false" ht="12.75" hidden="true" customHeight="false" outlineLevel="0" collapsed="false">
      <c r="H31" s="16" t="s">
        <v>140</v>
      </c>
      <c r="L31" s="0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17</v>
      </c>
      <c r="L34" s="74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4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</row>
    <row r="2" customFormat="false" ht="18" hidden="false" customHeight="false" outlineLevel="0" collapsed="false">
      <c r="B2" s="44" t="s">
        <v>275</v>
      </c>
      <c r="C2" s="44"/>
      <c r="D2" s="44"/>
      <c r="E2" s="44"/>
      <c r="F2" s="44"/>
      <c r="G2" s="44"/>
      <c r="H2" s="44"/>
      <c r="I2" s="44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</row>
    <row r="3" customFormat="false" ht="18.75" hidden="false" customHeight="false" outlineLevel="0" collapsed="false">
      <c r="B3" s="93" t="s">
        <v>5</v>
      </c>
      <c r="C3" s="93"/>
      <c r="D3" s="93"/>
      <c r="E3" s="93"/>
      <c r="F3" s="93"/>
      <c r="G3" s="93"/>
      <c r="H3" s="93"/>
      <c r="I3" s="93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customFormat="false" ht="12.75" hidden="false" customHeight="false" outlineLevel="0" collapsed="false">
      <c r="K4" s="79"/>
      <c r="L4" s="80"/>
      <c r="M4" s="80"/>
      <c r="N4" s="81"/>
    </row>
    <row r="5" customFormat="false" ht="12.75" hidden="false" customHeight="false" outlineLevel="0" collapsed="false">
      <c r="K5" s="82"/>
      <c r="L5" s="21" t="s">
        <v>85</v>
      </c>
      <c r="M5" s="21" t="s">
        <v>86</v>
      </c>
      <c r="N5" s="83" t="s">
        <v>87</v>
      </c>
    </row>
    <row r="6" customFormat="false" ht="12.75" hidden="false" customHeight="false" outlineLevel="0" collapsed="false">
      <c r="C6" s="54" t="n">
        <v>37135</v>
      </c>
      <c r="E6" s="94" t="n">
        <v>2001</v>
      </c>
      <c r="F6" s="54"/>
      <c r="G6" s="94" t="n">
        <v>2002</v>
      </c>
      <c r="H6" s="54"/>
      <c r="I6" s="54" t="s">
        <v>180</v>
      </c>
      <c r="K6" s="82"/>
      <c r="L6" s="21"/>
      <c r="M6" s="21"/>
      <c r="N6" s="83"/>
      <c r="O6" s="94" t="n">
        <v>2002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/>
      <c r="G7" s="55" t="s">
        <v>94</v>
      </c>
      <c r="H7" s="55"/>
      <c r="I7" s="55" t="s">
        <v>181</v>
      </c>
      <c r="K7" s="82"/>
      <c r="L7" s="21"/>
      <c r="M7" s="21"/>
      <c r="N7" s="8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'[21]Executive Orig'!C8+[21]Trading!C8+[21]Origination!C8+'[21]Mid Market'!C8+[21]Services!C8+[21]Fundamentals!C8</f>
        <v>4789958.99</v>
      </c>
      <c r="E8" s="58" t="n">
        <f aca="false">(C8/9)*12</f>
        <v>6386611.98666667</v>
      </c>
      <c r="F8" s="58"/>
      <c r="G8" s="58" t="n">
        <f aca="false">+'West - Struct'!G8+'Gas - Struct'!H8</f>
        <v>595200</v>
      </c>
      <c r="H8" s="58"/>
      <c r="I8" s="85" t="n">
        <f aca="false">+G8/$G$23</f>
        <v>0.632869464970041</v>
      </c>
      <c r="K8" s="82" t="s">
        <v>96</v>
      </c>
      <c r="L8" s="43" t="n">
        <v>0</v>
      </c>
      <c r="M8" s="21" t="n">
        <f aca="false">+M11</f>
        <v>2</v>
      </c>
      <c r="N8" s="86" t="n">
        <f aca="false">N28</f>
        <v>260640</v>
      </c>
      <c r="O8" s="58" t="n">
        <f aca="false">+G8/$G$29*$O$29</f>
        <v>119040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'[21]Executive Orig'!C9+[21]Trading!C9+[21]Origination!C9+'[21]Mid Market'!C9+[21]Services!C9+[21]Fundamentals!C9</f>
        <v>1464000</v>
      </c>
      <c r="E9" s="58" t="n">
        <f aca="false">+C9</f>
        <v>1464000</v>
      </c>
      <c r="F9" s="58"/>
      <c r="G9" s="58" t="n">
        <f aca="false">+'West - Struct'!G9+'Gas - Struct'!H9</f>
        <v>0</v>
      </c>
      <c r="H9" s="58"/>
      <c r="I9" s="85" t="n">
        <f aca="false">+G9/$G$23</f>
        <v>0</v>
      </c>
      <c r="K9" s="82"/>
      <c r="L9" s="21"/>
      <c r="M9" s="21"/>
      <c r="N9" s="83"/>
      <c r="O9" s="58" t="n">
        <f aca="false">+G9/$G$29*$O$29</f>
        <v>0</v>
      </c>
    </row>
    <row r="10" customFormat="false" ht="12.75" hidden="false" customHeight="false" outlineLevel="0" collapsed="false">
      <c r="B10" s="57" t="s">
        <v>176</v>
      </c>
      <c r="C10" s="58" t="n">
        <f aca="false">'[21]Executive Orig'!C10+[21]Trading!C10+[21]Origination!C10+'[21]Mid Market'!C10+[21]Services!C10+[21]Fundamentals!C10</f>
        <v>804567</v>
      </c>
      <c r="E10" s="58" t="n">
        <f aca="false">(C10/9)*12</f>
        <v>1072756</v>
      </c>
      <c r="F10" s="58"/>
      <c r="G10" s="58" t="n">
        <f aca="false">+'West - Struct'!G10+'Gas - Struct'!H10</f>
        <v>97200</v>
      </c>
      <c r="H10" s="58"/>
      <c r="I10" s="85" t="n">
        <f aca="false">+G10/$G$23</f>
        <v>0.103351666658414</v>
      </c>
      <c r="K10" s="82"/>
      <c r="L10" s="21"/>
      <c r="M10" s="21"/>
      <c r="N10" s="83"/>
      <c r="O10" s="58" t="n">
        <f aca="false">+G10/$G$29*$O$29</f>
        <v>19440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'[21]Executive Orig'!C11+[21]Trading!C11+[21]Origination!C11+'[21]Mid Market'!C11+[21]Services!C11+[21]Fundamentals!C11</f>
        <v>1096068.21</v>
      </c>
      <c r="E11" s="58" t="n">
        <f aca="false">(C11/9)*12</f>
        <v>1461424.28</v>
      </c>
      <c r="F11" s="58"/>
      <c r="G11" s="58" t="n">
        <f aca="false">+'West - Struct'!G11+'Gas - Struct'!H11</f>
        <v>138480</v>
      </c>
      <c r="H11" s="58"/>
      <c r="I11" s="85" t="n">
        <f aca="false">+G11/$G$23</f>
        <v>0.147244226325691</v>
      </c>
      <c r="K11" s="82" t="s">
        <v>67</v>
      </c>
      <c r="L11" s="74" t="n">
        <f aca="false">(E12+E13+E14+E15+E16+E17+E18+E19+E20+E21+E22)/E29</f>
        <v>47533.8552808989</v>
      </c>
      <c r="M11" s="21" t="n">
        <f aca="false">M28</f>
        <v>2</v>
      </c>
      <c r="N11" s="86" t="n">
        <f aca="false">L11*M11</f>
        <v>95067.7105617977</v>
      </c>
      <c r="O11" s="58" t="n">
        <f aca="false">+G11/$G$29*$O$29</f>
        <v>27696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'[21]Executive Orig'!C12+[21]Trading!C12+[21]Origination!C12+'[21]Mid Market'!C12+[21]Services!C12+[21]Fundamentals!C12</f>
        <v>658117.68</v>
      </c>
      <c r="E12" s="62" t="n">
        <f aca="false">((C12/9)*12)*1.2</f>
        <v>1052988.288</v>
      </c>
      <c r="F12" s="58"/>
      <c r="G12" s="58" t="n">
        <f aca="false">+'West - Struct'!G12+'Gas - Struct'!H12</f>
        <v>32887.42125</v>
      </c>
      <c r="H12" s="58"/>
      <c r="I12" s="85" t="n">
        <f aca="false">+G12/$G$23</f>
        <v>0.034968825085235</v>
      </c>
      <c r="K12" s="82"/>
      <c r="L12" s="21"/>
      <c r="M12" s="21"/>
      <c r="N12" s="83"/>
      <c r="O12" s="58" t="n">
        <f aca="false">+G12/$G$29*$O$29</f>
        <v>6577.48425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'[21]Executive Orig'!C13+[21]Trading!C13+[21]Origination!C13+'[21]Mid Market'!C13+[21]Services!C13+[21]Fundamentals!C13</f>
        <v>719773.8</v>
      </c>
      <c r="E13" s="62" t="n">
        <f aca="false">((C13/9)*12)*1.2</f>
        <v>1151638.08</v>
      </c>
      <c r="F13" s="58"/>
      <c r="G13" s="58" t="n">
        <f aca="false">+'West - Struct'!G13+'Gas - Struct'!H13</f>
        <v>44254.87075</v>
      </c>
      <c r="H13" s="58"/>
      <c r="I13" s="85" t="n">
        <f aca="false">+G13/$G$23</f>
        <v>0.0470557062733045</v>
      </c>
      <c r="K13" s="87" t="s">
        <v>105</v>
      </c>
      <c r="L13" s="88"/>
      <c r="M13" s="88"/>
      <c r="N13" s="89" t="n">
        <f aca="false">N8+N11</f>
        <v>355707.710561798</v>
      </c>
      <c r="O13" s="58" t="n">
        <f aca="false">+G13/$G$29*$O$29</f>
        <v>8850.97415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'[21]Executive Orig'!C14+[21]Trading!C14+[21]Origination!C14+'[21]Mid Market'!C14+[21]Services!C14+[21]Fundamentals!C14-C32</f>
        <v>0.239999999757856</v>
      </c>
      <c r="E14" s="62" t="n">
        <f aca="false">((C14/9)*12)*1.2</f>
        <v>0.38399999961257</v>
      </c>
      <c r="F14" s="58"/>
      <c r="G14" s="58" t="n">
        <f aca="false">+'West - Struct'!G14+'Gas - Struct'!H14</f>
        <v>0.0146292134749345</v>
      </c>
      <c r="H14" s="58"/>
      <c r="I14" s="85" t="n">
        <f aca="false">+G14/$G$23</f>
        <v>1.55550781330886E-008</v>
      </c>
      <c r="O14" s="58" t="n">
        <f aca="false">+G14/$G$29*$O$29</f>
        <v>0.00292584269498691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'[21]Executive Orig'!C15+[21]Trading!C15+[21]Origination!C15+'[21]Mid Market'!C15+[21]Services!C15+[21]Fundamentals!C15</f>
        <v>128890.14</v>
      </c>
      <c r="E15" s="62" t="n">
        <f aca="false">((C15/9)*12)*1.2</f>
        <v>206224.224</v>
      </c>
      <c r="F15" s="58"/>
      <c r="G15" s="58" t="n">
        <f aca="false">+'West - Struct'!G15+'Gas - Struct'!H15</f>
        <v>8374.075</v>
      </c>
      <c r="H15" s="58"/>
      <c r="I15" s="85" t="n">
        <f aca="false">+G15/$G$23</f>
        <v>0.0089040597528041</v>
      </c>
      <c r="O15" s="58" t="n">
        <f aca="false">+G15/$G$29*$O$29</f>
        <v>1674.815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'[21]Executive Orig'!C16+[21]Trading!C16+[21]Origination!C16+'[21]Mid Market'!C16+[21]Services!C16+[21]Fundamentals!C16</f>
        <v>0</v>
      </c>
      <c r="E16" s="62" t="n">
        <f aca="false">((C16/9)*12)*1.2</f>
        <v>0</v>
      </c>
      <c r="F16" s="58"/>
      <c r="G16" s="58" t="n">
        <f aca="false">+'West - Struct'!G16+'Gas - Struct'!H16</f>
        <v>0</v>
      </c>
      <c r="H16" s="58"/>
      <c r="I16" s="85" t="n">
        <f aca="false">+G16/$G$23</f>
        <v>0</v>
      </c>
      <c r="K16" s="0" t="s">
        <v>177</v>
      </c>
      <c r="L16" s="43" t="n">
        <v>33600</v>
      </c>
      <c r="M16" s="0" t="n">
        <v>0</v>
      </c>
      <c r="N16" s="43" t="n">
        <f aca="false">L16*M16</f>
        <v>0</v>
      </c>
      <c r="O16" s="58" t="n">
        <f aca="false">+G16/$G$29*$O$29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'[21]Executive Orig'!C17+[21]Trading!C17+[21]Origination!C17+'[21]Mid Market'!C17+[21]Services!C17+[21]Fundamentals!C17</f>
        <v>11300</v>
      </c>
      <c r="E17" s="62" t="n">
        <f aca="false">((C17/9)*12)*1.2</f>
        <v>18080</v>
      </c>
      <c r="F17" s="58"/>
      <c r="G17" s="58" t="n">
        <f aca="false">+'West - Struct'!G17+'Gas - Struct'!H17</f>
        <v>147.5</v>
      </c>
      <c r="H17" s="58"/>
      <c r="I17" s="85" t="n">
        <f aca="false">+G17/$G$23</f>
        <v>0.000156835090865392</v>
      </c>
      <c r="K17" s="0" t="s">
        <v>115</v>
      </c>
      <c r="L17" s="43" t="n">
        <v>52800</v>
      </c>
      <c r="M17" s="0" t="n">
        <v>0</v>
      </c>
      <c r="N17" s="43" t="n">
        <f aca="false">L17*M17</f>
        <v>0</v>
      </c>
      <c r="O17" s="58" t="n">
        <f aca="false">+G17/$G$29*$O$29</f>
        <v>29.5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'[21]Executive Orig'!C18+[21]Trading!C18+[21]Origination!C18+'[21]Mid Market'!C18+[21]Services!C18+[21]Fundamentals!C18</f>
        <v>327447.74</v>
      </c>
      <c r="E18" s="62" t="n">
        <f aca="false">((C18/9)*12)*1.2</f>
        <v>523916.384</v>
      </c>
      <c r="F18" s="58"/>
      <c r="G18" s="58" t="n">
        <f aca="false">+'West - Struct'!G18+'Gas - Struct'!H18</f>
        <v>4478.873</v>
      </c>
      <c r="H18" s="58"/>
      <c r="I18" s="85" t="n">
        <f aca="false">+G18/$G$23</f>
        <v>0.0047623352808783</v>
      </c>
      <c r="K18" s="0" t="s">
        <v>118</v>
      </c>
      <c r="L18" s="43" t="n">
        <v>54000</v>
      </c>
      <c r="M18" s="0" t="n">
        <v>0</v>
      </c>
      <c r="N18" s="43" t="n">
        <f aca="false">L18*M18</f>
        <v>0</v>
      </c>
      <c r="O18" s="58" t="n">
        <f aca="false">+G18/$G$29*$O$29</f>
        <v>895.7746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'[21]Executive Orig'!C19+[21]Trading!C19+[21]Origination!C19+'[21]Mid Market'!C19+[21]Services!C19+[21]Fundamentals!C19</f>
        <v>155845.37</v>
      </c>
      <c r="E19" s="62" t="n">
        <f aca="false">((C19/9)*12)*1.2</f>
        <v>249352.592</v>
      </c>
      <c r="F19" s="58"/>
      <c r="G19" s="58" t="n">
        <f aca="false">+'West - Struct'!G19+'Gas - Struct'!H19</f>
        <v>8333.68703370787</v>
      </c>
      <c r="H19" s="58"/>
      <c r="I19" s="85" t="n">
        <f aca="false">+G19/$G$23</f>
        <v>0.00886111568254447</v>
      </c>
      <c r="K19" s="0" t="s">
        <v>121</v>
      </c>
      <c r="L19" s="43" t="n">
        <v>63000</v>
      </c>
      <c r="M19" s="0" t="n">
        <v>0</v>
      </c>
      <c r="N19" s="43" t="n">
        <f aca="false">L19*M19</f>
        <v>0</v>
      </c>
      <c r="O19" s="58" t="n">
        <f aca="false">+G19/$G$29*$O$29</f>
        <v>1666.73740674157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'[21]Executive Orig'!C20+[21]Trading!C20+[21]Origination!C20+'[21]Mid Market'!C20+[21]Services!C20+[21]Fundamentals!C20</f>
        <v>116.15</v>
      </c>
      <c r="E20" s="62" t="n">
        <f aca="false">((C20/9)*12)*1.2</f>
        <v>185.84</v>
      </c>
      <c r="F20" s="58"/>
      <c r="G20" s="58" t="n">
        <f aca="false">+'West - Struct'!G20+'Gas - Struct'!H20</f>
        <v>4.5761797752809</v>
      </c>
      <c r="H20" s="58"/>
      <c r="I20" s="85" t="n">
        <f aca="false">+G20/$G$23</f>
        <v>4.86580048049184E-006</v>
      </c>
      <c r="K20" s="0" t="s">
        <v>124</v>
      </c>
      <c r="L20" s="43" t="n">
        <v>78000</v>
      </c>
      <c r="M20" s="0" t="n">
        <f aca="false">2-2</f>
        <v>0</v>
      </c>
      <c r="N20" s="43" t="n">
        <f aca="false">L20*M20</f>
        <v>0</v>
      </c>
      <c r="O20" s="58" t="n">
        <f aca="false">+G20/$G$29*$O$29</f>
        <v>0.91523595505618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'[21]Executive Orig'!C21+[21]Trading!C21+[21]Origination!C21+'[21]Mid Market'!C21+[21]Services!C21+[21]Fundamentals!C21</f>
        <v>566869.93</v>
      </c>
      <c r="E21" s="62" t="n">
        <f aca="false">((C21/9)*12)*1.2</f>
        <v>906991.888</v>
      </c>
      <c r="F21" s="58"/>
      <c r="G21" s="58" t="n">
        <f aca="false">+'West - Struct'!G21+'Gas - Struct'!H21</f>
        <v>8394.72275</v>
      </c>
      <c r="H21" s="58"/>
      <c r="I21" s="85" t="n">
        <f aca="false">+G21/$G$23</f>
        <v>0.00892601427312556</v>
      </c>
      <c r="K21" s="0" t="s">
        <v>127</v>
      </c>
      <c r="L21" s="43" t="n">
        <v>66000</v>
      </c>
      <c r="M21" s="0" t="n">
        <v>0</v>
      </c>
      <c r="N21" s="43" t="n">
        <f aca="false">L21*M21</f>
        <v>0</v>
      </c>
      <c r="O21" s="58" t="n">
        <f aca="false">+G21/$G$29*$O$29</f>
        <v>1678.94455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'[21]Executive Orig'!C22+[21]Trading!C22+[21]Origination!C22+'[21]Mid Market'!C22+[21]Services!C22+[21]Fundamentals!C22</f>
        <v>75709.65</v>
      </c>
      <c r="E22" s="62" t="n">
        <f aca="false">((C22/9)*12)*1.2</f>
        <v>121135.44</v>
      </c>
      <c r="F22" s="58"/>
      <c r="G22" s="58" t="n">
        <f aca="false">+'West - Struct'!G22+'Gas - Struct'!H22</f>
        <v>2722.56171910117</v>
      </c>
      <c r="H22" s="58"/>
      <c r="I22" s="85" t="n">
        <f aca="false">+G22/$G$23</f>
        <v>0.00289486925153809</v>
      </c>
      <c r="K22" s="0" t="s">
        <v>130</v>
      </c>
      <c r="L22" s="43" t="n">
        <v>97200</v>
      </c>
      <c r="M22" s="0" t="n">
        <v>1</v>
      </c>
      <c r="N22" s="43" t="n">
        <f aca="false">L22*M22</f>
        <v>97200</v>
      </c>
      <c r="O22" s="58" t="n">
        <f aca="false">+G22/$G$29*$O$29</f>
        <v>544.512343820234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10798664.9</v>
      </c>
      <c r="E23" s="68" t="n">
        <f aca="false">SUM(E8:E22)</f>
        <v>14615305.3866667</v>
      </c>
      <c r="F23" s="70"/>
      <c r="G23" s="68" t="n">
        <f aca="false">SUM(G8:G22)</f>
        <v>940478.302311798</v>
      </c>
      <c r="H23" s="70"/>
      <c r="I23" s="91" t="n">
        <f aca="false">SUM(I8:I22)</f>
        <v>1</v>
      </c>
      <c r="K23" s="0" t="s">
        <v>133</v>
      </c>
      <c r="L23" s="43" t="n">
        <v>120000</v>
      </c>
      <c r="M23" s="0" t="n">
        <v>1</v>
      </c>
      <c r="N23" s="43" t="n">
        <f aca="false">L23*M23</f>
        <v>120000</v>
      </c>
      <c r="O23" s="68" t="n">
        <f aca="false">SUM(O8:O22)</f>
        <v>188095.66046236</v>
      </c>
    </row>
    <row r="24" customFormat="false" ht="12.75" hidden="false" customHeight="false" outlineLevel="0" collapsed="false">
      <c r="K24" s="0" t="s">
        <v>134</v>
      </c>
      <c r="L24" s="43" t="n">
        <v>156000</v>
      </c>
      <c r="M24" s="0" t="n">
        <f aca="false">1-1</f>
        <v>0</v>
      </c>
      <c r="N24" s="43" t="n">
        <f aca="false">L24*M24</f>
        <v>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'[21]Executive Orig'!E25+[21]Trading!E25+[21]Origination!E25+'[21]Mid Market'!E25+[21]Services!E25+[21]Fundamentals!E25</f>
        <v>74</v>
      </c>
      <c r="F25" s="58"/>
      <c r="G25" s="71" t="n">
        <f aca="false">+'West - Struct'!G25+'Gas - Struct'!H25</f>
        <v>4</v>
      </c>
      <c r="H25" s="58"/>
      <c r="K25" s="0" t="s">
        <v>135</v>
      </c>
      <c r="L25" s="43" t="n">
        <v>180000</v>
      </c>
      <c r="M25" s="0" t="n">
        <v>0</v>
      </c>
      <c r="N25" s="43" t="n">
        <f aca="false">L25*M25</f>
        <v>0</v>
      </c>
      <c r="O25" s="71" t="n">
        <v>1</v>
      </c>
    </row>
    <row r="26" customFormat="false" ht="12.75" hidden="false" customHeight="false" outlineLevel="0" collapsed="false">
      <c r="C26" s="58"/>
      <c r="E26" s="58"/>
      <c r="F26" s="58"/>
      <c r="G26" s="58"/>
      <c r="H26" s="58"/>
      <c r="K26" s="0" t="s">
        <v>136</v>
      </c>
      <c r="L26" s="43" t="n">
        <v>216000</v>
      </c>
      <c r="M26" s="0" t="n">
        <v>0</v>
      </c>
      <c r="N26" s="43" t="n">
        <f aca="false">L26*M26</f>
        <v>0</v>
      </c>
      <c r="O26" s="58"/>
    </row>
    <row r="27" customFormat="false" ht="12.75" hidden="false" customHeight="false" outlineLevel="0" collapsed="false">
      <c r="B27" s="67" t="s">
        <v>178</v>
      </c>
      <c r="C27" s="58"/>
      <c r="E27" s="71" t="n">
        <f aca="false">'[21]Executive Orig'!E27+[21]Trading!E27+[21]Origination!E27+'[21]Mid Market'!E27+[21]Services!E27+[21]Fundamentals!E27</f>
        <v>15</v>
      </c>
      <c r="F27" s="58"/>
      <c r="G27" s="71" t="n">
        <f aca="false">+'West - Struct'!G27+'Gas - Struct'!H27</f>
        <v>1</v>
      </c>
      <c r="H27" s="58"/>
      <c r="K27" s="0" t="s">
        <v>138</v>
      </c>
      <c r="L27" s="43" t="n">
        <v>240000</v>
      </c>
      <c r="M27" s="0" t="n">
        <v>0</v>
      </c>
      <c r="N27" s="43" t="n">
        <f aca="false">L27*M27</f>
        <v>0</v>
      </c>
      <c r="O27" s="71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2</v>
      </c>
      <c r="N28" s="43" t="n">
        <f aca="false">SUM(N16:N27)*1.2</f>
        <v>260640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89</v>
      </c>
      <c r="F29" s="58"/>
      <c r="G29" s="71" t="n">
        <f aca="false">+G27+G25</f>
        <v>5</v>
      </c>
      <c r="H29" s="58"/>
      <c r="I29" s="43"/>
      <c r="O29" s="71" t="n">
        <f aca="false">+O27+O25</f>
        <v>1</v>
      </c>
    </row>
    <row r="31" customFormat="false" ht="12.75" hidden="false" customHeight="false" outlineLevel="0" collapsed="false">
      <c r="J31" s="16" t="s">
        <v>140</v>
      </c>
      <c r="K31" s="43"/>
      <c r="L31" s="43"/>
      <c r="M31" s="43"/>
    </row>
    <row r="32" customFormat="false" ht="12.75" hidden="true" customHeight="false" outlineLevel="0" collapsed="false">
      <c r="B32" s="57" t="s">
        <v>107</v>
      </c>
      <c r="C32" s="58" t="n">
        <v>677322</v>
      </c>
      <c r="K32" s="43"/>
      <c r="L32" s="43"/>
      <c r="M32" s="43"/>
    </row>
    <row r="33" customFormat="false" ht="12.75" hidden="false" customHeight="false" outlineLevel="0" collapsed="false">
      <c r="J33" s="73" t="s">
        <v>141</v>
      </c>
      <c r="K33" s="74" t="s">
        <v>142</v>
      </c>
      <c r="L33" s="74" t="s">
        <v>143</v>
      </c>
      <c r="M33" s="74" t="s">
        <v>86</v>
      </c>
      <c r="N33" s="74" t="s">
        <v>144</v>
      </c>
    </row>
    <row r="34" customFormat="false" ht="12.75" hidden="false" customHeight="false" outlineLevel="0" collapsed="false">
      <c r="J34" s="75" t="n">
        <f aca="false">SUM(E12:E22)</f>
        <v>4230513.12</v>
      </c>
      <c r="K34" s="74" t="n">
        <f aca="false">+E29</f>
        <v>89</v>
      </c>
      <c r="L34" s="74" t="n">
        <f aca="false">+J34/K34</f>
        <v>47533.8552808989</v>
      </c>
      <c r="M34" s="74" t="n">
        <f aca="false">+M11</f>
        <v>2</v>
      </c>
      <c r="N34" s="74" t="n">
        <f aca="false">+L34*M34</f>
        <v>95067.7105617977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9.14"/>
    <col collapsed="false" customWidth="false" hidden="true" outlineLevel="0" max="55" min="18" style="0" width="9.06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276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Q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Q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f aca="false">L28-H10</f>
        <v>719400</v>
      </c>
      <c r="I8" s="52" t="s">
        <v>96</v>
      </c>
      <c r="J8" s="43" t="n">
        <v>0</v>
      </c>
      <c r="L8" s="53" t="n">
        <f aca="false">L30</f>
        <v>863280</v>
      </c>
      <c r="Q8" s="58" t="n">
        <f aca="false">+H8/$H$29*$Q$29</f>
        <v>143880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8" t="n">
        <v>0</v>
      </c>
      <c r="G9" s="59" t="n">
        <f aca="false">E9/$E$23</f>
        <v>0</v>
      </c>
      <c r="H9" s="58" t="n">
        <v>0</v>
      </c>
      <c r="I9" s="52"/>
      <c r="L9" s="53"/>
      <c r="Q9" s="58" t="n">
        <f aca="false">+H9/$H$29*$Q$29</f>
        <v>0</v>
      </c>
    </row>
    <row r="10" customFormat="false" ht="12.75" hidden="false" customHeight="false" outlineLevel="0" collapsed="false">
      <c r="A10" s="56"/>
      <c r="B10" s="57" t="s">
        <v>98</v>
      </c>
      <c r="C10" s="58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8"/>
      <c r="E10" s="58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9" t="n">
        <f aca="false">E10/$E$23</f>
        <v>0.00377976191391553</v>
      </c>
      <c r="H10" s="58" t="n">
        <f aca="false">L21+L22</f>
        <v>0</v>
      </c>
      <c r="I10" s="52"/>
      <c r="L10" s="53"/>
      <c r="Q10" s="58" t="n">
        <f aca="false">+H10/$H$29*$Q$29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L30-L28</f>
        <v>143880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5</v>
      </c>
      <c r="L11" s="53" t="n">
        <f aca="false">J11*K11</f>
        <v>241350.90625</v>
      </c>
      <c r="Q11" s="58" t="n">
        <f aca="false">+H11/$H$29*$Q$29</f>
        <v>28776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f aca="false">(E12/$E$29)*$K$11</f>
        <v>30812.36875</v>
      </c>
      <c r="I12" s="52"/>
      <c r="L12" s="53"/>
      <c r="Q12" s="58" t="n">
        <f aca="false">+H12/$H$29*$Q$29</f>
        <v>6162.47375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f aca="false">(E13/$E$29)*$K$11</f>
        <v>27424.7845833333</v>
      </c>
      <c r="I13" s="63" t="s">
        <v>105</v>
      </c>
      <c r="J13" s="64"/>
      <c r="K13" s="64"/>
      <c r="L13" s="65" t="n">
        <f aca="false">L8+L11</f>
        <v>1104630.90625</v>
      </c>
      <c r="N13" s="43" t="n">
        <v>24109311.029375</v>
      </c>
      <c r="P13" s="60" t="n">
        <f aca="false">N13-L13</f>
        <v>23004680.123125</v>
      </c>
      <c r="Q13" s="58" t="n">
        <f aca="false">+H13/$H$29*$Q$29</f>
        <v>5484.95691666667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v>133800</v>
      </c>
      <c r="Q14" s="58" t="n">
        <f aca="false">+H14/$H$29*$Q$29</f>
        <v>26760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f aca="false">(E15/$E$29)*$K$11</f>
        <v>4356.79166666667</v>
      </c>
      <c r="Q15" s="58" t="n">
        <f aca="false">+H15/$H$29*$Q$29</f>
        <v>871.358333333333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f aca="false">(E16/$E$29)*$K$11</f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Q16" s="58" t="n">
        <f aca="false">+H16/$H$29*$Q$29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f aca="false">(E17/$E$29)*$K$11</f>
        <v>245.833333333333</v>
      </c>
      <c r="I17" s="43" t="s">
        <v>115</v>
      </c>
      <c r="J17" s="43" t="n">
        <v>48400</v>
      </c>
      <c r="K17" s="43" t="n">
        <f aca="false">1-1</f>
        <v>0</v>
      </c>
      <c r="L17" s="43" t="n">
        <f aca="false">J17*K17</f>
        <v>0</v>
      </c>
      <c r="Q17" s="58" t="n">
        <f aca="false">+H17/$H$29*$Q$29</f>
        <v>49.1666666666667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f aca="false">(E18/$E$29)*$K$11</f>
        <v>4464.78833333333</v>
      </c>
      <c r="I18" s="43" t="s">
        <v>118</v>
      </c>
      <c r="J18" s="43" t="n">
        <v>49500</v>
      </c>
      <c r="K18" s="43" t="n">
        <f aca="false">1-1</f>
        <v>0</v>
      </c>
      <c r="L18" s="43" t="n">
        <f aca="false">J18*K18</f>
        <v>0</v>
      </c>
      <c r="Q18" s="58" t="n">
        <f aca="false">+H18/$H$29*$Q$29</f>
        <v>892.957666666667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f aca="false">(E19/$E$29)*$K$11</f>
        <v>4550.43</v>
      </c>
      <c r="I19" s="43" t="s">
        <v>121</v>
      </c>
      <c r="J19" s="43" t="n">
        <v>57750</v>
      </c>
      <c r="K19" s="43" t="n">
        <f aca="false">1-1</f>
        <v>0</v>
      </c>
      <c r="L19" s="43" t="n">
        <f aca="false">J19*K19</f>
        <v>0</v>
      </c>
      <c r="Q19" s="58" t="n">
        <f aca="false">+H19/$H$29*$Q$29</f>
        <v>910.086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f aca="false">(E20/$E$29)*$K$11</f>
        <v>0.666666666666667</v>
      </c>
      <c r="I20" s="43" t="s">
        <v>124</v>
      </c>
      <c r="J20" s="43" t="n">
        <v>71500</v>
      </c>
      <c r="K20" s="43" t="n">
        <v>1</v>
      </c>
      <c r="L20" s="43" t="n">
        <f aca="false">J20*K20</f>
        <v>71500</v>
      </c>
      <c r="Q20" s="58" t="n">
        <f aca="false">+H20/$H$29*$Q$29</f>
        <v>0.133333333333333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f aca="false">(E21/$E$29)*$K$11</f>
        <v>5657.87125</v>
      </c>
      <c r="I21" s="43" t="s">
        <v>127</v>
      </c>
      <c r="J21" s="43" t="n">
        <v>60500</v>
      </c>
      <c r="K21" s="43" t="n">
        <f aca="false">1-1</f>
        <v>0</v>
      </c>
      <c r="L21" s="43" t="n">
        <f aca="false">J21*K21</f>
        <v>0</v>
      </c>
      <c r="Q21" s="58" t="n">
        <f aca="false">+H21/$H$29*$Q$29</f>
        <v>1131.57425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f aca="false">(E22/$E$29)*$K$11-65535</f>
        <v>98302.3616666668</v>
      </c>
      <c r="I22" s="43" t="s">
        <v>130</v>
      </c>
      <c r="J22" s="43" t="n">
        <v>89100</v>
      </c>
      <c r="K22" s="43" t="n">
        <f aca="false">1-1</f>
        <v>0</v>
      </c>
      <c r="L22" s="43" t="n">
        <f aca="false">J22*K22</f>
        <v>0</v>
      </c>
      <c r="Q22" s="58" t="n">
        <f aca="false">+H22/$H$29*$Q$29</f>
        <v>19660.4723333334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1172895.89625</v>
      </c>
      <c r="I23" s="43" t="s">
        <v>133</v>
      </c>
      <c r="J23" s="43" t="n">
        <v>110000</v>
      </c>
      <c r="K23" s="43" t="n">
        <v>3</v>
      </c>
      <c r="L23" s="43" t="n">
        <f aca="false">J23*K23</f>
        <v>330000</v>
      </c>
      <c r="Q23" s="68" t="n">
        <f aca="false">SUM(Q8:Q22)</f>
        <v>234579.17925</v>
      </c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f aca="false">1-1</f>
        <v>0</v>
      </c>
      <c r="L24" s="43" t="n">
        <f aca="false">J24*K24</f>
        <v>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1" t="n">
        <f aca="false">+K16+K17+K18+K19+K20+K23+K24+K25+K26+K27</f>
        <v>5</v>
      </c>
      <c r="I25" s="43" t="s">
        <v>135</v>
      </c>
      <c r="J25" s="43" t="n">
        <v>165000</v>
      </c>
      <c r="K25" s="43" t="n">
        <f aca="false">1-1</f>
        <v>0</v>
      </c>
      <c r="L25" s="43" t="n">
        <f aca="false">J25*K25</f>
        <v>0</v>
      </c>
      <c r="Q25" s="71" t="n">
        <f aca="false">+T16+T17+T18+T19+T20+T23+T24+T25+T26+T27</f>
        <v>0</v>
      </c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1</v>
      </c>
      <c r="L26" s="43" t="n">
        <f aca="false">J26*K26</f>
        <v>198000</v>
      </c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1" t="n">
        <f aca="false">+K21+K22</f>
        <v>0</v>
      </c>
      <c r="I27" s="43" t="s">
        <v>138</v>
      </c>
      <c r="J27" s="43" t="n">
        <v>220000</v>
      </c>
      <c r="K27" s="43" t="n">
        <f aca="false">1-1</f>
        <v>0</v>
      </c>
      <c r="L27" s="43" t="n">
        <f aca="false">J27*K27</f>
        <v>0</v>
      </c>
      <c r="Q27" s="71" t="n">
        <f aca="false">+T21+T22</f>
        <v>0</v>
      </c>
    </row>
    <row r="28" customFormat="false" ht="12.75" hidden="false" customHeight="false" outlineLevel="0" collapsed="false">
      <c r="K28" s="43" t="n">
        <f aca="false">SUM(K16:K27)</f>
        <v>5</v>
      </c>
      <c r="L28" s="43" t="n">
        <f aca="false">SUM(L16:L27)*1.2</f>
        <v>719400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5</v>
      </c>
      <c r="L29" s="72" t="n">
        <v>0.2</v>
      </c>
      <c r="Q29" s="71" t="n">
        <v>1</v>
      </c>
    </row>
    <row r="30" customFormat="false" ht="12.75" hidden="true" customHeight="false" outlineLevel="0" collapsed="false">
      <c r="L30" s="43" t="n">
        <f aca="false">L28*1.2</f>
        <v>863280</v>
      </c>
    </row>
    <row r="31" customFormat="false" ht="12.75" hidden="true" customHeight="false" outlineLevel="0" collapsed="false">
      <c r="H31" s="16" t="s">
        <v>140</v>
      </c>
      <c r="L31" s="0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5</v>
      </c>
      <c r="L34" s="74" t="n">
        <f aca="false">+J34*K34</f>
        <v>241350.90625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true" hidden="false" outlineLevel="0" max="10" min="10" style="0" width="19.41"/>
    <col collapsed="false" customWidth="true" hidden="false" outlineLevel="0" max="11" min="11" style="43" width="10.41"/>
    <col collapsed="false" customWidth="true" hidden="false" outlineLevel="0" max="12" min="12" style="43" width="10.85"/>
    <col collapsed="false" customWidth="true" hidden="false" outlineLevel="0" max="13" min="13" style="43" width="11.42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44" t="str">
        <f aca="false">'[17]Team Report'!B1</f>
        <v>Enron North America</v>
      </c>
      <c r="C1" s="44"/>
      <c r="D1" s="44"/>
      <c r="E1" s="44"/>
      <c r="F1" s="44"/>
      <c r="G1" s="44"/>
      <c r="H1" s="46"/>
      <c r="I1" s="46"/>
      <c r="J1" s="46"/>
      <c r="K1" s="45"/>
      <c r="L1" s="45"/>
      <c r="M1" s="45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customFormat="false" ht="18" hidden="false" customHeight="false" outlineLevel="0" collapsed="false">
      <c r="B2" s="44" t="s">
        <v>253</v>
      </c>
      <c r="C2" s="44"/>
      <c r="D2" s="44"/>
      <c r="E2" s="44"/>
      <c r="F2" s="44"/>
      <c r="G2" s="44"/>
      <c r="H2" s="46"/>
      <c r="I2" s="46"/>
      <c r="J2" s="46"/>
      <c r="K2" s="45"/>
      <c r="L2" s="45"/>
      <c r="M2" s="45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customFormat="false" ht="18" hidden="false" customHeight="false" outlineLevel="0" collapsed="false">
      <c r="B3" s="44" t="s">
        <v>5</v>
      </c>
      <c r="C3" s="44"/>
      <c r="D3" s="44"/>
      <c r="E3" s="44"/>
      <c r="F3" s="44"/>
      <c r="G3" s="44"/>
      <c r="H3" s="48"/>
      <c r="I3" s="48"/>
      <c r="J3" s="48"/>
      <c r="K3" s="45"/>
      <c r="L3" s="45"/>
      <c r="M3" s="45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customFormat="false" ht="13.5" hidden="false" customHeight="false" outlineLevel="0" collapsed="false">
      <c r="J4" s="97"/>
      <c r="K4" s="97"/>
      <c r="L4" s="97"/>
      <c r="M4" s="97"/>
    </row>
    <row r="5" customFormat="false" ht="12.75" hidden="false" customHeight="false" outlineLevel="0" collapsed="false">
      <c r="J5" s="79"/>
      <c r="K5" s="50"/>
      <c r="L5" s="50"/>
      <c r="M5" s="51"/>
    </row>
    <row r="6" customFormat="false" ht="12.75" hidden="false" customHeight="false" outlineLevel="0" collapsed="false">
      <c r="C6" s="54" t="n">
        <v>37135</v>
      </c>
      <c r="E6" s="94" t="n">
        <v>2001</v>
      </c>
      <c r="F6" s="94"/>
      <c r="G6" s="94" t="n">
        <v>2002</v>
      </c>
      <c r="J6" s="82"/>
      <c r="K6" s="74" t="s">
        <v>85</v>
      </c>
      <c r="L6" s="74" t="s">
        <v>86</v>
      </c>
      <c r="M6" s="98" t="s">
        <v>196</v>
      </c>
      <c r="O6" s="94" t="n">
        <v>2002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/>
      <c r="G7" s="55" t="s">
        <v>94</v>
      </c>
      <c r="J7" s="82"/>
      <c r="M7" s="5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99" t="n">
        <f aca="false">'[17]Team Report'!BA25</f>
        <v>10228335.79</v>
      </c>
      <c r="E8" s="58" t="n">
        <f aca="false">+C8/9*12</f>
        <v>13637781.0533333</v>
      </c>
      <c r="F8" s="58"/>
      <c r="G8" s="58" t="n">
        <f aca="false">SUM(M19:M28)+3000000</f>
        <v>18144000</v>
      </c>
      <c r="J8" s="82"/>
      <c r="M8" s="53"/>
      <c r="O8" s="58" t="n">
        <f aca="false">+G8/$G$29*$O$29</f>
        <v>136421.052631579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+C9/9*12</f>
        <v>0</v>
      </c>
      <c r="F9" s="58"/>
      <c r="G9" s="58" t="n">
        <f aca="false">+E9/9*12</f>
        <v>0</v>
      </c>
      <c r="J9" s="82" t="s">
        <v>96</v>
      </c>
      <c r="K9" s="43" t="n">
        <v>0</v>
      </c>
      <c r="L9" s="43" t="n">
        <f aca="false">+L35</f>
        <v>128</v>
      </c>
      <c r="M9" s="53" t="n">
        <f aca="false">M35</f>
        <v>18172800</v>
      </c>
      <c r="O9" s="58" t="n">
        <f aca="false">+G9/$G$29*$O$29</f>
        <v>0</v>
      </c>
    </row>
    <row r="10" customFormat="false" ht="12.75" hidden="false" customHeight="false" outlineLevel="0" collapsed="false">
      <c r="A10" s="56"/>
      <c r="B10" s="57" t="s">
        <v>198</v>
      </c>
      <c r="C10" s="58" t="n">
        <v>0</v>
      </c>
      <c r="E10" s="58" t="n">
        <f aca="false">+C10/9*12</f>
        <v>0</v>
      </c>
      <c r="F10" s="58"/>
      <c r="G10" s="58" t="n">
        <f aca="false">+E10/9*12</f>
        <v>0</v>
      </c>
      <c r="J10" s="82"/>
      <c r="M10" s="53"/>
      <c r="O10" s="58" t="n">
        <f aca="false">+G10/$G$29*$O$29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'[17]Team Report'!BA26</f>
        <v>1877442.13</v>
      </c>
      <c r="E11" s="58" t="n">
        <f aca="false">+C11/9*12</f>
        <v>2503256.17333333</v>
      </c>
      <c r="F11" s="58"/>
      <c r="G11" s="58" t="n">
        <f aca="false">+G8*0.2</f>
        <v>3628800</v>
      </c>
      <c r="J11" s="82"/>
      <c r="M11" s="53"/>
      <c r="O11" s="58" t="n">
        <f aca="false">+G11/$G$29*$O$29</f>
        <v>27284.2105263158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'[17]Team Report'!BA27</f>
        <v>405632.98</v>
      </c>
      <c r="E12" s="58" t="n">
        <f aca="false">+C12/9*12</f>
        <v>540843.973333333</v>
      </c>
      <c r="F12" s="58"/>
      <c r="G12" s="58" t="n">
        <f aca="false">+$M$12*0.25+950000</f>
        <v>1660208</v>
      </c>
      <c r="J12" s="82" t="s">
        <v>67</v>
      </c>
      <c r="K12" s="43" t="n">
        <f aca="false">18495*1.2</f>
        <v>22194</v>
      </c>
      <c r="L12" s="43" t="n">
        <f aca="false">+L35</f>
        <v>128</v>
      </c>
      <c r="M12" s="53" t="n">
        <f aca="false">K12*L12</f>
        <v>2840832</v>
      </c>
      <c r="O12" s="58" t="n">
        <f aca="false">+G12/$G$29*$O$29</f>
        <v>12482.7669172932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'[17]Team Report'!BA28</f>
        <v>648740.17</v>
      </c>
      <c r="E13" s="58" t="n">
        <f aca="false">+C13/9*12</f>
        <v>864986.893333333</v>
      </c>
      <c r="F13" s="58"/>
      <c r="G13" s="58" t="n">
        <f aca="false">+$M$12*0.13+500000</f>
        <v>869308.16</v>
      </c>
      <c r="J13" s="82"/>
      <c r="M13" s="53"/>
      <c r="O13" s="58" t="n">
        <f aca="false">+G13/$G$29*$O$29</f>
        <v>6536.15157894737</v>
      </c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v>0</v>
      </c>
      <c r="E14" s="58" t="n">
        <f aca="false">+C14/9*12</f>
        <v>0</v>
      </c>
      <c r="F14" s="58"/>
      <c r="G14" s="58" t="n">
        <v>0</v>
      </c>
      <c r="J14" s="87" t="s">
        <v>105</v>
      </c>
      <c r="K14" s="64"/>
      <c r="L14" s="64"/>
      <c r="M14" s="65" t="n">
        <f aca="false">SUM(M9:M12)</f>
        <v>21013632</v>
      </c>
      <c r="O14" s="58" t="n">
        <f aca="false">+G14/$G$29*$O$29</f>
        <v>0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'[17]Team Report'!BA33</f>
        <v>76876.32</v>
      </c>
      <c r="E15" s="58" t="n">
        <f aca="false">+C15/9*12</f>
        <v>102501.76</v>
      </c>
      <c r="F15" s="58"/>
      <c r="G15" s="58" t="n">
        <f aca="false">+$M$12*0.08+90000</f>
        <v>317266.56</v>
      </c>
      <c r="J15" s="21"/>
      <c r="O15" s="58" t="n">
        <f aca="false">+G15/$G$29*$O$29</f>
        <v>2385.46285714286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'[17]Team Report'!BA34</f>
        <v>0</v>
      </c>
      <c r="E16" s="58" t="n">
        <f aca="false">+C16/9*12</f>
        <v>0</v>
      </c>
      <c r="F16" s="58"/>
      <c r="G16" s="58" t="n">
        <v>0</v>
      </c>
      <c r="J16" s="21"/>
      <c r="L16" s="100"/>
      <c r="O16" s="58" t="n">
        <f aca="false">+G16/$G$29*$O$29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'[17]Team Report'!BA35</f>
        <v>0</v>
      </c>
      <c r="E17" s="58" t="n">
        <f aca="false">+C17/9*12</f>
        <v>0</v>
      </c>
      <c r="F17" s="58"/>
      <c r="G17" s="58" t="n">
        <v>0</v>
      </c>
      <c r="J17" s="0" t="s">
        <v>177</v>
      </c>
      <c r="K17" s="43" t="n">
        <v>49200</v>
      </c>
      <c r="L17" s="43" t="n">
        <v>0</v>
      </c>
      <c r="M17" s="43" t="n">
        <f aca="false">K17*L17</f>
        <v>0</v>
      </c>
      <c r="O17" s="58" t="n">
        <f aca="false">+G17/$G$29*$O$29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'[17]Team Report'!BA36</f>
        <v>5744.1</v>
      </c>
      <c r="E18" s="58" t="n">
        <f aca="false">+C18/9*12</f>
        <v>7658.8</v>
      </c>
      <c r="F18" s="58"/>
      <c r="G18" s="58" t="n">
        <v>0</v>
      </c>
      <c r="J18" s="0" t="s">
        <v>115</v>
      </c>
      <c r="K18" s="43" t="n">
        <v>57600</v>
      </c>
      <c r="L18" s="43" t="n">
        <v>0</v>
      </c>
      <c r="M18" s="43" t="n">
        <f aca="false">K18*L18</f>
        <v>0</v>
      </c>
      <c r="O18" s="58" t="n">
        <f aca="false">+G18/$G$29*$O$29</f>
        <v>0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'[17]Team Report'!BA37</f>
        <v>67058.6</v>
      </c>
      <c r="E19" s="58" t="n">
        <f aca="false">+C19/9*12</f>
        <v>89411.4666666667</v>
      </c>
      <c r="F19" s="58"/>
      <c r="G19" s="58" t="n">
        <f aca="false">+$M$12*0.19+2000000</f>
        <v>2539758.08</v>
      </c>
      <c r="J19" s="0" t="s">
        <v>118</v>
      </c>
      <c r="K19" s="43" t="n">
        <v>60000</v>
      </c>
      <c r="L19" s="43" t="n">
        <v>3</v>
      </c>
      <c r="M19" s="43" t="n">
        <f aca="false">K19*L19</f>
        <v>180000</v>
      </c>
      <c r="O19" s="58" t="n">
        <f aca="false">+G19/$G$29*$O$29</f>
        <v>19095.9254135338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'[17]Team Report'!BA38</f>
        <v>0</v>
      </c>
      <c r="E20" s="58" t="n">
        <f aca="false">+C20/9*12</f>
        <v>0</v>
      </c>
      <c r="F20" s="58"/>
      <c r="G20" s="58" t="n">
        <v>0</v>
      </c>
      <c r="J20" s="0" t="s">
        <v>121</v>
      </c>
      <c r="K20" s="43" t="n">
        <v>78000</v>
      </c>
      <c r="L20" s="43" t="n">
        <v>24</v>
      </c>
      <c r="M20" s="43" t="n">
        <f aca="false">K20*L20</f>
        <v>1872000</v>
      </c>
      <c r="O20" s="58" t="n">
        <f aca="false">+G20/$G$29*$O$29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'[17]Team Report'!BA42</f>
        <v>842429.76</v>
      </c>
      <c r="E21" s="58" t="n">
        <f aca="false">+C21/9*12</f>
        <v>1123239.68</v>
      </c>
      <c r="F21" s="58"/>
      <c r="G21" s="58" t="n">
        <f aca="false">2295000+6368166</f>
        <v>8663166</v>
      </c>
      <c r="J21" s="0" t="s">
        <v>124</v>
      </c>
      <c r="K21" s="43" t="n">
        <v>102000</v>
      </c>
      <c r="L21" s="43" t="n">
        <v>62</v>
      </c>
      <c r="M21" s="43" t="n">
        <f aca="false">K21*L21</f>
        <v>6324000</v>
      </c>
      <c r="O21" s="58" t="n">
        <f aca="false">+G21/$G$29*$O$29</f>
        <v>65136.5864661654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'[17]Team Report'!BA44</f>
        <v>6453.7</v>
      </c>
      <c r="E22" s="58" t="n">
        <f aca="false">+C22/9*12</f>
        <v>8604.93333333333</v>
      </c>
      <c r="F22" s="58"/>
      <c r="G22" s="58" t="n">
        <v>0</v>
      </c>
      <c r="J22" s="0" t="s">
        <v>254</v>
      </c>
      <c r="K22" s="43" t="n">
        <v>192000</v>
      </c>
      <c r="L22" s="43" t="n">
        <v>1</v>
      </c>
      <c r="M22" s="43" t="n">
        <f aca="false">K22*L22</f>
        <v>192000</v>
      </c>
      <c r="O22" s="58" t="n">
        <f aca="false">+G22/$G$29*$O$29</f>
        <v>0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14158713.55</v>
      </c>
      <c r="E23" s="68" t="n">
        <f aca="false">SUM(E8:E22)</f>
        <v>18878284.7333333</v>
      </c>
      <c r="F23" s="70"/>
      <c r="G23" s="68" t="n">
        <f aca="false">SUM(G8:G22)</f>
        <v>35822506.8</v>
      </c>
      <c r="J23" s="0" t="s">
        <v>255</v>
      </c>
      <c r="K23" s="43" t="n">
        <v>192000</v>
      </c>
      <c r="L23" s="43" t="n">
        <v>9</v>
      </c>
      <c r="M23" s="43" t="n">
        <f aca="false">K23*L23</f>
        <v>1728000</v>
      </c>
      <c r="O23" s="68" t="n">
        <f aca="false">SUM(O8:O22)</f>
        <v>269342.156390977</v>
      </c>
    </row>
    <row r="24" customFormat="false" ht="12.75" hidden="false" customHeight="false" outlineLevel="0" collapsed="false">
      <c r="J24" s="0" t="s">
        <v>133</v>
      </c>
      <c r="K24" s="43" t="n">
        <v>144000</v>
      </c>
      <c r="L24" s="43" t="n">
        <v>15</v>
      </c>
      <c r="M24" s="43" t="n">
        <f aca="false">K24*L24</f>
        <v>2160000</v>
      </c>
    </row>
    <row r="25" customFormat="false" ht="12.75" hidden="false" customHeight="false" outlineLevel="0" collapsed="false">
      <c r="B25" s="67" t="s">
        <v>9</v>
      </c>
      <c r="C25" s="101"/>
      <c r="E25" s="101" t="n">
        <v>111</v>
      </c>
      <c r="F25" s="3" t="n">
        <v>40</v>
      </c>
      <c r="G25" s="102" t="n">
        <v>133</v>
      </c>
      <c r="J25" s="0" t="s">
        <v>134</v>
      </c>
      <c r="K25" s="43" t="n">
        <v>168000</v>
      </c>
      <c r="L25" s="43" t="n">
        <v>7</v>
      </c>
      <c r="M25" s="43" t="n">
        <f aca="false">K25*L25</f>
        <v>1176000</v>
      </c>
      <c r="O25" s="71" t="n">
        <f aca="false">SUM(U16:U20,U23:U27)</f>
        <v>0</v>
      </c>
    </row>
    <row r="26" customFormat="false" ht="12.75" hidden="false" customHeight="false" outlineLevel="0" collapsed="false">
      <c r="J26" s="0" t="s">
        <v>135</v>
      </c>
      <c r="K26" s="43" t="n">
        <v>216000</v>
      </c>
      <c r="L26" s="43" t="n">
        <v>7</v>
      </c>
      <c r="M26" s="43" t="n">
        <f aca="false">K26*L26</f>
        <v>1512000</v>
      </c>
      <c r="O26" s="58"/>
    </row>
    <row r="27" customFormat="false" ht="12.75" hidden="false" customHeight="false" outlineLevel="0" collapsed="false">
      <c r="B27" s="67" t="s">
        <v>137</v>
      </c>
      <c r="C27" s="101"/>
      <c r="E27" s="101"/>
      <c r="F27" s="3"/>
      <c r="G27" s="101"/>
      <c r="J27" s="0" t="s">
        <v>136</v>
      </c>
      <c r="K27" s="43" t="n">
        <v>222000</v>
      </c>
      <c r="L27" s="43" t="n">
        <v>0</v>
      </c>
      <c r="M27" s="43" t="n">
        <f aca="false">K27*L27</f>
        <v>0</v>
      </c>
      <c r="O27" s="71" t="n">
        <f aca="false">+U21+U22</f>
        <v>0</v>
      </c>
    </row>
    <row r="28" customFormat="false" ht="12.75" hidden="false" customHeight="false" outlineLevel="0" collapsed="false">
      <c r="J28" s="0" t="s">
        <v>138</v>
      </c>
      <c r="K28" s="43" t="n">
        <v>300000</v>
      </c>
      <c r="L28" s="43" t="n">
        <v>0</v>
      </c>
      <c r="M28" s="43" t="n">
        <f aca="false">K28*L28</f>
        <v>0</v>
      </c>
    </row>
    <row r="29" customFormat="false" ht="12.75" hidden="false" customHeight="false" outlineLevel="0" collapsed="false">
      <c r="B29" s="67" t="s">
        <v>139</v>
      </c>
      <c r="C29" s="101"/>
      <c r="E29" s="101" t="n">
        <f aca="false">SUM(E25:E28)</f>
        <v>111</v>
      </c>
      <c r="F29" s="3"/>
      <c r="G29" s="101" t="n">
        <f aca="false">SUM(G25:G28)</f>
        <v>133</v>
      </c>
      <c r="L29" s="43" t="n">
        <f aca="false">SUM(L17:L28)</f>
        <v>128</v>
      </c>
      <c r="M29" s="43" t="n">
        <f aca="false">SUM(M17:M28)</f>
        <v>15144000</v>
      </c>
      <c r="O29" s="71" t="n">
        <v>1</v>
      </c>
    </row>
    <row r="30" customFormat="false" ht="12.75" hidden="false" customHeight="false" outlineLevel="0" collapsed="false">
      <c r="B30" s="67"/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'[17]Team Report'!BA29</f>
        <v>-24140467.68</v>
      </c>
      <c r="E31" s="58" t="n">
        <v>0</v>
      </c>
      <c r="F31" s="58"/>
      <c r="J31" s="0" t="s">
        <v>228</v>
      </c>
      <c r="L31" s="72"/>
      <c r="M31" s="72" t="n">
        <v>0.2</v>
      </c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'[17]Team Report'!BA30</f>
        <v>0</v>
      </c>
      <c r="E32" s="58" t="n">
        <f aca="false">(C32/9)*12</f>
        <v>0</v>
      </c>
      <c r="F32" s="58"/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'[17]Team Report'!BA31</f>
        <v>0</v>
      </c>
      <c r="E33" s="58" t="n">
        <f aca="false">(C33/9)*12</f>
        <v>0</v>
      </c>
      <c r="F33" s="58"/>
      <c r="J33" s="0" t="s">
        <v>238</v>
      </c>
      <c r="K33" s="43" t="n">
        <v>160000</v>
      </c>
      <c r="L33" s="43" t="n">
        <v>0</v>
      </c>
      <c r="M33" s="43" t="n">
        <f aca="false">K33*L33</f>
        <v>0</v>
      </c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'[17]Team Report'!BA39</f>
        <v>0</v>
      </c>
      <c r="E34" s="58" t="n">
        <f aca="false">(C34/9)*12</f>
        <v>0</v>
      </c>
      <c r="F34" s="58"/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'[17]Team Report'!BA40</f>
        <v>164920.93</v>
      </c>
      <c r="E35" s="58" t="n">
        <v>0</v>
      </c>
      <c r="F35" s="58"/>
      <c r="L35" s="43" t="n">
        <f aca="false">+L29+L33</f>
        <v>128</v>
      </c>
      <c r="M35" s="43" t="n">
        <f aca="false">M29*1.2+M33</f>
        <v>18172800</v>
      </c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'[17]Team Report'!BA41</f>
        <v>945381.27</v>
      </c>
      <c r="E36" s="58" t="n">
        <v>0</v>
      </c>
      <c r="F36" s="58"/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'[17]Team Report'!BA43</f>
        <v>-5121278.52</v>
      </c>
      <c r="E37" s="58" t="n">
        <v>0</v>
      </c>
      <c r="F37" s="58"/>
      <c r="I37" s="16" t="s">
        <v>140</v>
      </c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'[17]Team Report'!BA45</f>
        <v>0</v>
      </c>
      <c r="E38" s="58" t="n">
        <f aca="false">(C38/9)*12</f>
        <v>0</v>
      </c>
      <c r="F38" s="58"/>
    </row>
    <row r="39" customFormat="false" ht="12.75" hidden="true" customHeight="false" outlineLevel="0" collapsed="false">
      <c r="A39" s="56" t="s">
        <v>106</v>
      </c>
      <c r="B39" s="57" t="s">
        <v>107</v>
      </c>
      <c r="C39" s="58" t="n">
        <v>24143776.43</v>
      </c>
      <c r="E39" s="58" t="n">
        <v>0</v>
      </c>
      <c r="F39" s="58"/>
      <c r="I39" s="0" t="s">
        <v>239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96" t="n">
        <f aca="false">C23+C31+C32+C33+C34+C35+C36+C37+C38</f>
        <v>-13992730.45</v>
      </c>
    </row>
    <row r="46" customFormat="false" ht="12.75" hidden="false" customHeight="false" outlineLevel="0" collapsed="false">
      <c r="B46" s="57" t="s">
        <v>256</v>
      </c>
    </row>
    <row r="47" customFormat="false" ht="12.75" hidden="false" customHeight="false" outlineLevel="0" collapsed="false">
      <c r="B47" s="57" t="s">
        <v>257</v>
      </c>
    </row>
    <row r="48" customFormat="false" ht="12.75" hidden="false" customHeight="false" outlineLevel="0" collapsed="false">
      <c r="B48" s="57" t="s">
        <v>258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1.85"/>
    <col collapsed="false" customWidth="true" hidden="false" outlineLevel="0" max="10" min="10" style="0" width="19.41"/>
    <col collapsed="false" customWidth="true" hidden="false" outlineLevel="0" max="11" min="11" style="43" width="10.41"/>
    <col collapsed="false" customWidth="true" hidden="false" outlineLevel="0" max="12" min="12" style="43" width="10.85"/>
    <col collapsed="false" customWidth="true" hidden="false" outlineLevel="0" max="13" min="13" style="43" width="11.42"/>
  </cols>
  <sheetData>
    <row r="1" customFormat="false" ht="18" hidden="false" customHeight="false" outlineLevel="0" collapsed="false">
      <c r="B1" s="44" t="str">
        <f aca="false">'[22]Team Report'!B1</f>
        <v>Enron North America</v>
      </c>
      <c r="C1" s="44"/>
      <c r="D1" s="44"/>
      <c r="E1" s="44"/>
      <c r="F1" s="44"/>
      <c r="G1" s="44"/>
      <c r="H1" s="46"/>
      <c r="I1" s="46"/>
      <c r="J1" s="46"/>
      <c r="K1" s="45"/>
      <c r="L1" s="45"/>
      <c r="M1" s="45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customFormat="false" ht="18" hidden="false" customHeight="false" outlineLevel="0" collapsed="false">
      <c r="B2" s="44" t="str">
        <f aca="false">"IT EOL"</f>
        <v>IT EOL</v>
      </c>
      <c r="C2" s="44"/>
      <c r="D2" s="44"/>
      <c r="E2" s="44"/>
      <c r="F2" s="44"/>
      <c r="G2" s="44"/>
      <c r="H2" s="46"/>
      <c r="I2" s="46"/>
      <c r="J2" s="46"/>
      <c r="K2" s="45"/>
      <c r="L2" s="45"/>
      <c r="M2" s="45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customFormat="false" ht="18" hidden="false" customHeight="false" outlineLevel="0" collapsed="false">
      <c r="B3" s="44" t="s">
        <v>5</v>
      </c>
      <c r="C3" s="44"/>
      <c r="D3" s="44"/>
      <c r="E3" s="44"/>
      <c r="F3" s="44"/>
      <c r="G3" s="44"/>
      <c r="H3" s="48"/>
      <c r="I3" s="48"/>
      <c r="J3" s="48"/>
      <c r="K3" s="45"/>
      <c r="L3" s="45"/>
      <c r="M3" s="45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customFormat="false" ht="13.5" hidden="false" customHeight="false" outlineLevel="0" collapsed="false">
      <c r="J4" s="97"/>
      <c r="K4" s="97"/>
      <c r="L4" s="97"/>
      <c r="M4" s="97"/>
    </row>
    <row r="5" customFormat="false" ht="12.75" hidden="false" customHeight="false" outlineLevel="0" collapsed="false">
      <c r="J5" s="79"/>
      <c r="K5" s="50"/>
      <c r="L5" s="50"/>
      <c r="M5" s="51"/>
    </row>
    <row r="6" customFormat="false" ht="12.75" hidden="false" customHeight="false" outlineLevel="0" collapsed="false">
      <c r="C6" s="54" t="n">
        <v>37135</v>
      </c>
      <c r="E6" s="94" t="n">
        <v>2001</v>
      </c>
      <c r="F6" s="94"/>
      <c r="G6" s="94" t="n">
        <v>2002</v>
      </c>
      <c r="J6" s="82"/>
      <c r="K6" s="74" t="s">
        <v>85</v>
      </c>
      <c r="L6" s="74" t="s">
        <v>86</v>
      </c>
      <c r="M6" s="98" t="s">
        <v>196</v>
      </c>
      <c r="O6" s="94" t="n">
        <v>2002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/>
      <c r="G7" s="55" t="s">
        <v>94</v>
      </c>
      <c r="J7" s="82"/>
      <c r="M7" s="5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99" t="n">
        <f aca="false">'[22]Team Report'!BA25</f>
        <v>10228335.79</v>
      </c>
      <c r="E8" s="58" t="n">
        <f aca="false">+C8/9*12</f>
        <v>13637781.0533333</v>
      </c>
      <c r="F8" s="58"/>
      <c r="G8" s="58" t="n">
        <f aca="false">SUM(M17:M28)+200000+100000</f>
        <v>5263200</v>
      </c>
      <c r="J8" s="82"/>
      <c r="M8" s="53"/>
      <c r="O8" s="58" t="n">
        <f aca="false">+G8/$G$29*$O$29</f>
        <v>119618.181818182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+C9/9*12</f>
        <v>0</v>
      </c>
      <c r="F9" s="58"/>
      <c r="G9" s="58" t="n">
        <f aca="false">+E9/9*12</f>
        <v>0</v>
      </c>
      <c r="J9" s="82" t="s">
        <v>96</v>
      </c>
      <c r="K9" s="43" t="n">
        <v>0</v>
      </c>
      <c r="L9" s="43" t="n">
        <f aca="false">L29+1</f>
        <v>44</v>
      </c>
      <c r="M9" s="53" t="n">
        <f aca="false">M33+M35</f>
        <v>6147840</v>
      </c>
      <c r="O9" s="58" t="n">
        <f aca="false">+G9/$G$29*$O$29</f>
        <v>0</v>
      </c>
    </row>
    <row r="10" customFormat="false" ht="12.75" hidden="false" customHeight="false" outlineLevel="0" collapsed="false">
      <c r="A10" s="56"/>
      <c r="B10" s="57" t="s">
        <v>198</v>
      </c>
      <c r="C10" s="58" t="n">
        <v>0</v>
      </c>
      <c r="E10" s="58" t="n">
        <f aca="false">+C10/9*12</f>
        <v>0</v>
      </c>
      <c r="F10" s="58"/>
      <c r="G10" s="58" t="n">
        <f aca="false">+E10/9*12</f>
        <v>0</v>
      </c>
      <c r="J10" s="82"/>
      <c r="M10" s="53"/>
      <c r="O10" s="58" t="n">
        <f aca="false">+G10/$G$29*$O$29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'[22]Team Report'!BA26</f>
        <v>1877442.13</v>
      </c>
      <c r="E11" s="58" t="n">
        <f aca="false">+C11/9*12</f>
        <v>2503256.17333333</v>
      </c>
      <c r="F11" s="58"/>
      <c r="G11" s="58" t="n">
        <f aca="false">+G8*0.2</f>
        <v>1052640</v>
      </c>
      <c r="J11" s="82"/>
      <c r="M11" s="53"/>
      <c r="O11" s="58" t="n">
        <f aca="false">+G11/$G$29*$O$29</f>
        <v>23923.6363636364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'[22]Team Report'!BA27</f>
        <v>405632.98</v>
      </c>
      <c r="E12" s="58" t="n">
        <f aca="false">(+C12/9*12)*1.2</f>
        <v>649012.768</v>
      </c>
      <c r="F12" s="58"/>
      <c r="G12" s="117" t="n">
        <f aca="false">+$M$12*0.25+50000+250000</f>
        <v>544134</v>
      </c>
      <c r="J12" s="82" t="s">
        <v>67</v>
      </c>
      <c r="K12" s="43" t="n">
        <f aca="false">18495*1.2</f>
        <v>22194</v>
      </c>
      <c r="L12" s="43" t="n">
        <f aca="false">L29+1</f>
        <v>44</v>
      </c>
      <c r="M12" s="53" t="n">
        <f aca="false">K12*L12</f>
        <v>976536</v>
      </c>
      <c r="O12" s="58" t="n">
        <f aca="false">+G12/$G$29*$O$29</f>
        <v>12366.6818181818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'[22]Team Report'!BA28</f>
        <v>648740.17</v>
      </c>
      <c r="E13" s="58" t="n">
        <f aca="false">(+C13/9*12)*1.2</f>
        <v>1037984.272</v>
      </c>
      <c r="F13" s="58"/>
      <c r="G13" s="58" t="n">
        <f aca="false">+$M$12*0.13+200000</f>
        <v>326949.68</v>
      </c>
      <c r="J13" s="82"/>
      <c r="M13" s="53"/>
      <c r="O13" s="58" t="n">
        <f aca="false">+G13/$G$29*$O$29</f>
        <v>7430.67454545455</v>
      </c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v>0</v>
      </c>
      <c r="E14" s="58" t="n">
        <f aca="false">(+C14/9*12)*1.2</f>
        <v>0</v>
      </c>
      <c r="F14" s="58"/>
      <c r="G14" s="58" t="n">
        <v>0</v>
      </c>
      <c r="J14" s="87" t="s">
        <v>105</v>
      </c>
      <c r="K14" s="64"/>
      <c r="L14" s="64"/>
      <c r="M14" s="65" t="n">
        <f aca="false">SUM(M9:M12)</f>
        <v>7124376</v>
      </c>
      <c r="O14" s="58" t="n">
        <f aca="false">+G14/$G$29*$O$29</f>
        <v>0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'[22]Team Report'!BA33</f>
        <v>76876.32</v>
      </c>
      <c r="E15" s="58" t="n">
        <f aca="false">(+C15/9*12)*1.2</f>
        <v>123002.112</v>
      </c>
      <c r="F15" s="58"/>
      <c r="G15" s="58" t="n">
        <f aca="false">+$M$12*0.08+100000</f>
        <v>178122.88</v>
      </c>
      <c r="J15" s="21"/>
      <c r="O15" s="58" t="n">
        <f aca="false">+G15/$G$29*$O$29</f>
        <v>4048.24727272727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'[22]Team Report'!BA34</f>
        <v>0</v>
      </c>
      <c r="E16" s="58" t="n">
        <f aca="false">(+C16/9*12)*1.2</f>
        <v>0</v>
      </c>
      <c r="F16" s="58"/>
      <c r="G16" s="58" t="n">
        <v>0</v>
      </c>
      <c r="J16" s="21"/>
      <c r="L16" s="100"/>
      <c r="O16" s="58" t="n">
        <f aca="false">+G16/$G$29*$O$29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'[22]Team Report'!BA35</f>
        <v>0</v>
      </c>
      <c r="E17" s="58" t="n">
        <f aca="false">(+C17/9*12)*1.2</f>
        <v>0</v>
      </c>
      <c r="F17" s="58"/>
      <c r="G17" s="58" t="n">
        <v>0</v>
      </c>
      <c r="J17" s="0" t="s">
        <v>177</v>
      </c>
      <c r="K17" s="43" t="n">
        <v>49200</v>
      </c>
      <c r="L17" s="43" t="n">
        <v>0</v>
      </c>
      <c r="M17" s="43" t="n">
        <f aca="false">K17*L17</f>
        <v>0</v>
      </c>
      <c r="O17" s="58" t="n">
        <f aca="false">+G17/$G$29*$O$29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'[22]Team Report'!BA36</f>
        <v>5744.1</v>
      </c>
      <c r="E18" s="58" t="n">
        <f aca="false">(+C18/9*12)*1.2</f>
        <v>9190.56</v>
      </c>
      <c r="F18" s="58"/>
      <c r="G18" s="58" t="n">
        <v>0</v>
      </c>
      <c r="J18" s="0" t="s">
        <v>115</v>
      </c>
      <c r="K18" s="43" t="n">
        <v>57600</v>
      </c>
      <c r="L18" s="43" t="n">
        <v>2</v>
      </c>
      <c r="M18" s="43" t="n">
        <f aca="false">K18*L18</f>
        <v>115200</v>
      </c>
      <c r="O18" s="58" t="n">
        <f aca="false">+G18/$G$29*$O$29</f>
        <v>0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'[22]Team Report'!BA37</f>
        <v>67058.6</v>
      </c>
      <c r="E19" s="58" t="n">
        <f aca="false">(+C19/9*12)*1.2</f>
        <v>107293.76</v>
      </c>
      <c r="F19" s="58"/>
      <c r="G19" s="58" t="n">
        <f aca="false">+$M$12*0.19+100000</f>
        <v>285541.84</v>
      </c>
      <c r="J19" s="0" t="s">
        <v>118</v>
      </c>
      <c r="K19" s="43" t="n">
        <v>60000</v>
      </c>
      <c r="L19" s="43" t="n">
        <v>2</v>
      </c>
      <c r="M19" s="43" t="n">
        <f aca="false">K19*L19</f>
        <v>120000</v>
      </c>
      <c r="O19" s="58" t="n">
        <f aca="false">+G19/$G$29*$O$29</f>
        <v>6489.58727272727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'[22]Team Report'!BA38</f>
        <v>0</v>
      </c>
      <c r="E20" s="58" t="n">
        <f aca="false">(+C20/9*12)*1.2</f>
        <v>0</v>
      </c>
      <c r="F20" s="58"/>
      <c r="G20" s="58" t="n">
        <v>0</v>
      </c>
      <c r="J20" s="0" t="s">
        <v>121</v>
      </c>
      <c r="K20" s="43" t="n">
        <v>78000</v>
      </c>
      <c r="L20" s="43" t="n">
        <v>15</v>
      </c>
      <c r="M20" s="43" t="n">
        <f aca="false">K20*L20</f>
        <v>1170000</v>
      </c>
      <c r="O20" s="58" t="n">
        <f aca="false">+G20/$G$29*$O$29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'[22]Team Report'!BA42</f>
        <v>842429.76</v>
      </c>
      <c r="E21" s="58" t="n">
        <f aca="false">(+C21/9*12)*1.2</f>
        <v>1347887.616</v>
      </c>
      <c r="F21" s="58"/>
      <c r="G21" s="58" t="n">
        <f aca="false">+$M$12*0.15+141124+150000+687307</f>
        <v>1124911.4</v>
      </c>
      <c r="J21" s="0" t="s">
        <v>124</v>
      </c>
      <c r="K21" s="43" t="n">
        <v>102000</v>
      </c>
      <c r="L21" s="43" t="n">
        <v>8</v>
      </c>
      <c r="M21" s="43" t="n">
        <f aca="false">K21*L21</f>
        <v>816000</v>
      </c>
      <c r="O21" s="58" t="n">
        <f aca="false">+G21/$G$29*$O$29</f>
        <v>25566.1681818182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'[22]Team Report'!BA44</f>
        <v>6453.7</v>
      </c>
      <c r="E22" s="118" t="n">
        <f aca="false">(+C22/9*12)*1.2</f>
        <v>10325.92</v>
      </c>
      <c r="F22" s="58"/>
      <c r="G22" s="58" t="n">
        <v>0</v>
      </c>
      <c r="J22" s="0" t="s">
        <v>127</v>
      </c>
      <c r="K22" s="43" t="n">
        <v>0</v>
      </c>
      <c r="L22" s="43" t="n">
        <v>0</v>
      </c>
      <c r="M22" s="43" t="n">
        <f aca="false">K22*L22</f>
        <v>0</v>
      </c>
      <c r="O22" s="58" t="n">
        <f aca="false">+G22/$G$29*$O$29</f>
        <v>0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14158713.55</v>
      </c>
      <c r="E23" s="68" t="n">
        <f aca="false">SUM(E8:E22)</f>
        <v>19425734.2346667</v>
      </c>
      <c r="F23" s="70"/>
      <c r="G23" s="68" t="n">
        <f aca="false">SUM(G8:G22)</f>
        <v>8775499.8</v>
      </c>
      <c r="J23" s="0" t="s">
        <v>130</v>
      </c>
      <c r="K23" s="43" t="n">
        <v>0</v>
      </c>
      <c r="L23" s="43" t="n">
        <v>0</v>
      </c>
      <c r="M23" s="43" t="n">
        <f aca="false">K23*L23</f>
        <v>0</v>
      </c>
      <c r="O23" s="68" t="n">
        <f aca="false">SUM(O8:O22)</f>
        <v>199443.177272727</v>
      </c>
    </row>
    <row r="24" customFormat="false" ht="12.75" hidden="false" customHeight="false" outlineLevel="0" collapsed="false">
      <c r="J24" s="0" t="s">
        <v>133</v>
      </c>
      <c r="K24" s="43" t="n">
        <v>144000</v>
      </c>
      <c r="L24" s="43" t="n">
        <v>6</v>
      </c>
      <c r="M24" s="43" t="n">
        <f aca="false">K24*L24</f>
        <v>864000</v>
      </c>
    </row>
    <row r="25" customFormat="false" ht="12.75" hidden="false" customHeight="false" outlineLevel="0" collapsed="false">
      <c r="B25" s="67" t="s">
        <v>9</v>
      </c>
      <c r="C25" s="101"/>
      <c r="E25" s="101" t="n">
        <v>0</v>
      </c>
      <c r="F25" s="3" t="n">
        <v>40</v>
      </c>
      <c r="G25" s="102" t="n">
        <f aca="false">+L12</f>
        <v>44</v>
      </c>
      <c r="J25" s="0" t="s">
        <v>134</v>
      </c>
      <c r="K25" s="43" t="n">
        <v>168000</v>
      </c>
      <c r="L25" s="43" t="n">
        <v>6</v>
      </c>
      <c r="M25" s="43" t="n">
        <f aca="false">K25*L25</f>
        <v>1008000</v>
      </c>
      <c r="O25" s="71" t="n">
        <f aca="false">SUM(U16:U20,U23:U27)</f>
        <v>0</v>
      </c>
    </row>
    <row r="26" customFormat="false" ht="12.75" hidden="false" customHeight="false" outlineLevel="0" collapsed="false">
      <c r="J26" s="0" t="s">
        <v>135</v>
      </c>
      <c r="K26" s="43" t="n">
        <v>216000</v>
      </c>
      <c r="L26" s="43" t="n">
        <v>3</v>
      </c>
      <c r="M26" s="43" t="n">
        <f aca="false">K26*L26</f>
        <v>648000</v>
      </c>
      <c r="O26" s="58"/>
    </row>
    <row r="27" customFormat="false" ht="12.75" hidden="false" customHeight="false" outlineLevel="0" collapsed="false">
      <c r="B27" s="67" t="s">
        <v>137</v>
      </c>
      <c r="C27" s="101"/>
      <c r="E27" s="101"/>
      <c r="F27" s="3"/>
      <c r="G27" s="101"/>
      <c r="J27" s="0" t="s">
        <v>136</v>
      </c>
      <c r="K27" s="43" t="n">
        <v>222000</v>
      </c>
      <c r="L27" s="43" t="n">
        <v>1</v>
      </c>
      <c r="M27" s="43" t="n">
        <f aca="false">K27*L27</f>
        <v>222000</v>
      </c>
      <c r="O27" s="71" t="n">
        <f aca="false">+U21+U22</f>
        <v>0</v>
      </c>
    </row>
    <row r="28" customFormat="false" ht="12.75" hidden="false" customHeight="false" outlineLevel="0" collapsed="false">
      <c r="J28" s="0" t="s">
        <v>138</v>
      </c>
      <c r="K28" s="43" t="n">
        <v>300000</v>
      </c>
      <c r="L28" s="43" t="n">
        <v>0</v>
      </c>
      <c r="M28" s="43" t="n">
        <f aca="false">K28*L28</f>
        <v>0</v>
      </c>
    </row>
    <row r="29" customFormat="false" ht="12.75" hidden="false" customHeight="false" outlineLevel="0" collapsed="false">
      <c r="B29" s="67" t="s">
        <v>139</v>
      </c>
      <c r="C29" s="101"/>
      <c r="E29" s="101" t="n">
        <f aca="false">SUM(E25:E28)</f>
        <v>0</v>
      </c>
      <c r="F29" s="3"/>
      <c r="G29" s="101" t="n">
        <f aca="false">SUM(G25:G28)</f>
        <v>44</v>
      </c>
      <c r="L29" s="43" t="n">
        <f aca="false">SUM(L17:L28)</f>
        <v>43</v>
      </c>
      <c r="M29" s="43" t="n">
        <f aca="false">SUM(M17:M28)</f>
        <v>4963200</v>
      </c>
      <c r="O29" s="71" t="n">
        <v>1</v>
      </c>
    </row>
    <row r="30" customFormat="false" ht="12.75" hidden="false" customHeight="false" outlineLevel="0" collapsed="false">
      <c r="B30" s="67"/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'[22]Team Report'!BA29</f>
        <v>-24140467.68</v>
      </c>
      <c r="E31" s="58" t="n">
        <v>0</v>
      </c>
      <c r="F31" s="58"/>
      <c r="J31" s="0" t="s">
        <v>228</v>
      </c>
      <c r="L31" s="72"/>
      <c r="M31" s="72" t="n">
        <v>0.2</v>
      </c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'[22]Team Report'!BA30</f>
        <v>0</v>
      </c>
      <c r="E32" s="58" t="n">
        <f aca="false">(C32/9)*12</f>
        <v>0</v>
      </c>
      <c r="F32" s="58"/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'[22]Team Report'!BA31</f>
        <v>0</v>
      </c>
      <c r="E33" s="58" t="n">
        <f aca="false">(C33/9)*12</f>
        <v>0</v>
      </c>
      <c r="F33" s="58"/>
      <c r="M33" s="43" t="n">
        <f aca="false">M29*1.2</f>
        <v>5955840</v>
      </c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'[22]Team Report'!BA39</f>
        <v>0</v>
      </c>
      <c r="E34" s="58" t="n">
        <v>0</v>
      </c>
      <c r="F34" s="58"/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'[22]Team Report'!BA40</f>
        <v>164920.93</v>
      </c>
      <c r="E35" s="58" t="n">
        <v>0</v>
      </c>
      <c r="F35" s="58"/>
      <c r="J35" s="0" t="s">
        <v>277</v>
      </c>
      <c r="K35" s="43" t="n">
        <v>192000</v>
      </c>
      <c r="L35" s="43" t="n">
        <v>1</v>
      </c>
      <c r="M35" s="43" t="n">
        <f aca="false">K35*L35</f>
        <v>192000</v>
      </c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'[22]Team Report'!BA41</f>
        <v>945381.27</v>
      </c>
      <c r="E36" s="58" t="n">
        <v>0</v>
      </c>
      <c r="F36" s="58"/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'[22]Team Report'!BA43</f>
        <v>-5121278.52</v>
      </c>
      <c r="E37" s="58" t="n">
        <v>0</v>
      </c>
      <c r="F37" s="58"/>
      <c r="I37" s="16" t="s">
        <v>140</v>
      </c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'[22]Team Report'!BA45</f>
        <v>0</v>
      </c>
      <c r="E38" s="58" t="n">
        <f aca="false">(C38/9)*12</f>
        <v>0</v>
      </c>
      <c r="F38" s="58"/>
    </row>
    <row r="39" customFormat="false" ht="12.75" hidden="true" customHeight="false" outlineLevel="0" collapsed="false">
      <c r="A39" s="56" t="s">
        <v>106</v>
      </c>
      <c r="B39" s="57" t="s">
        <v>107</v>
      </c>
      <c r="C39" s="58" t="n">
        <v>24143776.43</v>
      </c>
      <c r="E39" s="58" t="n">
        <v>0</v>
      </c>
      <c r="F39" s="58"/>
      <c r="I39" s="0" t="s">
        <v>239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false" customHeight="false" outlineLevel="0" collapsed="false">
      <c r="C44" s="96" t="n">
        <f aca="false">C23+C31+C32+C33+C34+C35+C36+C37+C38</f>
        <v>-13992730.45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0.747916666666667" right="0.747916666666667" top="0.7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43" width="10.41"/>
    <col collapsed="false" customWidth="true" hidden="true" outlineLevel="0" max="12" min="12" style="43" width="10.85"/>
    <col collapsed="false" customWidth="true" hidden="true" outlineLevel="0" max="13" min="13" style="43" width="11.42"/>
    <col collapsed="false" customWidth="true" hidden="true" outlineLevel="0" max="16" min="14" style="0" width="9.14"/>
    <col collapsed="false" customWidth="false" hidden="true" outlineLevel="0" max="69" min="17" style="0" width="9.06"/>
  </cols>
  <sheetData>
    <row r="1" customFormat="false" ht="18" hidden="false" customHeight="false" outlineLevel="0" collapsed="false">
      <c r="B1" s="44" t="str">
        <f aca="false">'[17]Team Report'!B1</f>
        <v>Enron North America</v>
      </c>
      <c r="C1" s="44"/>
      <c r="D1" s="44"/>
      <c r="E1" s="44"/>
      <c r="F1" s="44"/>
      <c r="G1" s="44"/>
      <c r="H1" s="46"/>
      <c r="I1" s="46"/>
      <c r="J1" s="46"/>
      <c r="K1" s="45"/>
      <c r="L1" s="45"/>
      <c r="M1" s="45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customFormat="false" ht="18" hidden="false" customHeight="false" outlineLevel="0" collapsed="false">
      <c r="B2" s="44" t="s">
        <v>278</v>
      </c>
      <c r="C2" s="44"/>
      <c r="D2" s="44"/>
      <c r="E2" s="44"/>
      <c r="F2" s="44"/>
      <c r="G2" s="44"/>
      <c r="H2" s="46"/>
      <c r="I2" s="46"/>
      <c r="J2" s="46"/>
      <c r="K2" s="45"/>
      <c r="L2" s="45"/>
      <c r="M2" s="45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customFormat="false" ht="18" hidden="false" customHeight="false" outlineLevel="0" collapsed="false">
      <c r="B3" s="44" t="s">
        <v>5</v>
      </c>
      <c r="C3" s="44"/>
      <c r="D3" s="44"/>
      <c r="E3" s="44"/>
      <c r="F3" s="44"/>
      <c r="G3" s="44"/>
      <c r="H3" s="48"/>
      <c r="I3" s="48"/>
      <c r="J3" s="48"/>
      <c r="K3" s="45"/>
      <c r="L3" s="45"/>
      <c r="M3" s="45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customFormat="false" ht="13.5" hidden="false" customHeight="false" outlineLevel="0" collapsed="false">
      <c r="J4" s="97"/>
      <c r="K4" s="97"/>
      <c r="L4" s="97"/>
      <c r="M4" s="97"/>
    </row>
    <row r="5" customFormat="false" ht="12.75" hidden="false" customHeight="false" outlineLevel="0" collapsed="false">
      <c r="J5" s="79"/>
      <c r="K5" s="50"/>
      <c r="L5" s="50"/>
      <c r="M5" s="51"/>
    </row>
    <row r="6" customFormat="false" ht="12.75" hidden="false" customHeight="false" outlineLevel="0" collapsed="false">
      <c r="C6" s="54" t="n">
        <v>37135</v>
      </c>
      <c r="E6" s="94" t="n">
        <v>2001</v>
      </c>
      <c r="F6" s="94"/>
      <c r="G6" s="94" t="n">
        <v>2002</v>
      </c>
      <c r="J6" s="82"/>
      <c r="K6" s="74" t="s">
        <v>85</v>
      </c>
      <c r="L6" s="74" t="s">
        <v>86</v>
      </c>
      <c r="M6" s="98" t="s">
        <v>196</v>
      </c>
      <c r="O6" s="94" t="n">
        <v>2002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/>
      <c r="G7" s="55" t="s">
        <v>94</v>
      </c>
      <c r="J7" s="82"/>
      <c r="M7" s="5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99" t="n">
        <f aca="false">'[17]Team Report'!BA25</f>
        <v>10228335.79</v>
      </c>
      <c r="E8" s="58" t="n">
        <f aca="false">+C8/9*12</f>
        <v>13637781.0533333</v>
      </c>
      <c r="F8" s="58"/>
      <c r="G8" s="58" t="n">
        <f aca="false">+'IT Dev-EOL'!G8+'IT Infra'!H8</f>
        <v>23594400</v>
      </c>
      <c r="J8" s="82"/>
      <c r="M8" s="53"/>
      <c r="O8" s="58" t="n">
        <f aca="false">+G8/$G$29*$O$29</f>
        <v>118564.824120603</v>
      </c>
    </row>
    <row r="9" customFormat="false" ht="12.75" hidden="true" customHeight="false" outlineLevel="0" collapsed="false">
      <c r="A9" s="56"/>
      <c r="B9" s="57" t="s">
        <v>97</v>
      </c>
      <c r="C9" s="58" t="n">
        <v>0</v>
      </c>
      <c r="E9" s="58" t="n">
        <f aca="false">+C9/9*12</f>
        <v>0</v>
      </c>
      <c r="F9" s="58"/>
      <c r="G9" s="58" t="n">
        <f aca="false">+'IT Dev-EOL'!G9+'IT Infra'!H9</f>
        <v>0</v>
      </c>
      <c r="J9" s="82" t="s">
        <v>96</v>
      </c>
      <c r="K9" s="43" t="n">
        <v>0</v>
      </c>
      <c r="L9" s="43" t="n">
        <f aca="false">+L35</f>
        <v>140</v>
      </c>
      <c r="M9" s="53" t="n">
        <f aca="false">M35</f>
        <v>20197440</v>
      </c>
      <c r="O9" s="58" t="n">
        <f aca="false">+G9/$G$29*$O$29</f>
        <v>0</v>
      </c>
    </row>
    <row r="10" customFormat="false" ht="12.75" hidden="false" customHeight="false" outlineLevel="0" collapsed="false">
      <c r="A10" s="56"/>
      <c r="B10" s="57" t="s">
        <v>246</v>
      </c>
      <c r="C10" s="58" t="n">
        <v>0</v>
      </c>
      <c r="E10" s="58" t="n">
        <f aca="false">+C10/9*12</f>
        <v>0</v>
      </c>
      <c r="F10" s="58"/>
      <c r="G10" s="58" t="n">
        <f aca="false">+'IT Dev-EOL'!G10+'IT Infra'!H10</f>
        <v>0</v>
      </c>
      <c r="J10" s="82"/>
      <c r="M10" s="53"/>
      <c r="O10" s="58" t="n">
        <f aca="false">+G10/$G$29*$O$29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'[17]Team Report'!BA26</f>
        <v>1877442.13</v>
      </c>
      <c r="E11" s="58" t="n">
        <f aca="false">+C11/9*12</f>
        <v>2503256.17333333</v>
      </c>
      <c r="F11" s="58"/>
      <c r="G11" s="58" t="n">
        <f aca="false">+'IT Dev-EOL'!G11+'IT Infra'!H11</f>
        <v>4718880</v>
      </c>
      <c r="J11" s="82"/>
      <c r="M11" s="53"/>
      <c r="O11" s="58" t="n">
        <f aca="false">+G11/$G$29*$O$29</f>
        <v>23712.9648241206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'[17]Team Report'!BA27</f>
        <v>405632.98</v>
      </c>
      <c r="E12" s="58" t="n">
        <f aca="false">+C12/9*12</f>
        <v>540843.973333333</v>
      </c>
      <c r="F12" s="58"/>
      <c r="G12" s="58" t="n">
        <f aca="false">+'IT Dev-EOL'!G12+'IT Infra'!H12</f>
        <v>3250858.44770642</v>
      </c>
      <c r="J12" s="82" t="s">
        <v>67</v>
      </c>
      <c r="K12" s="43" t="n">
        <f aca="false">18495*1.2</f>
        <v>22194</v>
      </c>
      <c r="L12" s="43" t="n">
        <f aca="false">+L35</f>
        <v>140</v>
      </c>
      <c r="M12" s="53" t="n">
        <f aca="false">K12*L12</f>
        <v>3107160</v>
      </c>
      <c r="O12" s="58" t="n">
        <f aca="false">+G12/$G$29*$O$29</f>
        <v>16335.9720990272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'[17]Team Report'!BA28</f>
        <v>648740.17</v>
      </c>
      <c r="E13" s="58" t="n">
        <f aca="false">+C13/9*12</f>
        <v>864986.893333333</v>
      </c>
      <c r="F13" s="58"/>
      <c r="G13" s="58" t="n">
        <f aca="false">+'IT Dev-EOL'!G13+'IT Infra'!H13</f>
        <v>1936733.28073395</v>
      </c>
      <c r="J13" s="82"/>
      <c r="M13" s="53"/>
      <c r="O13" s="58" t="n">
        <f aca="false">+G13/$G$29*$O$29</f>
        <v>9732.32804388917</v>
      </c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v>0</v>
      </c>
      <c r="E14" s="58" t="n">
        <f aca="false">+C14/9*12</f>
        <v>0</v>
      </c>
      <c r="F14" s="58"/>
      <c r="G14" s="58" t="n">
        <f aca="false">+'IT Dev-EOL'!G14+'IT Infra'!H14</f>
        <v>2000000</v>
      </c>
      <c r="J14" s="87" t="s">
        <v>105</v>
      </c>
      <c r="K14" s="64"/>
      <c r="L14" s="64"/>
      <c r="M14" s="65" t="n">
        <f aca="false">SUM(M9:M12)</f>
        <v>23304600</v>
      </c>
      <c r="O14" s="58" t="n">
        <f aca="false">+G14/$G$29*$O$29</f>
        <v>10050.2512562814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'[17]Team Report'!BA33</f>
        <v>76876.32</v>
      </c>
      <c r="E15" s="58" t="n">
        <f aca="false">+C15/9*12</f>
        <v>102501.76</v>
      </c>
      <c r="F15" s="58"/>
      <c r="G15" s="58" t="n">
        <f aca="false">+'IT Dev-EOL'!G15+'IT Infra'!H15</f>
        <v>662640.381651376</v>
      </c>
      <c r="J15" s="21"/>
      <c r="O15" s="58" t="n">
        <f aca="false">+G15/$G$29*$O$29</f>
        <v>3329.85116407727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'[17]Team Report'!BA34</f>
        <v>0</v>
      </c>
      <c r="E16" s="58" t="n">
        <f aca="false">+C16/9*12</f>
        <v>0</v>
      </c>
      <c r="F16" s="58"/>
      <c r="G16" s="58" t="n">
        <f aca="false">+'IT Dev-EOL'!G16+'IT Infra'!H16</f>
        <v>0</v>
      </c>
      <c r="J16" s="21"/>
      <c r="L16" s="100"/>
      <c r="O16" s="58" t="n">
        <f aca="false">+G16/$G$29*$O$29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'[17]Team Report'!BA35</f>
        <v>0</v>
      </c>
      <c r="E17" s="58" t="n">
        <f aca="false">+C17/9*12</f>
        <v>0</v>
      </c>
      <c r="F17" s="58"/>
      <c r="G17" s="58" t="n">
        <f aca="false">+'IT Dev-EOL'!G17+'IT Infra'!H17</f>
        <v>0</v>
      </c>
      <c r="J17" s="0" t="s">
        <v>177</v>
      </c>
      <c r="K17" s="43" t="n">
        <v>49200</v>
      </c>
      <c r="L17" s="43" t="n">
        <f aca="false">+'IT Dev'!L17+'IT EOL'!L17</f>
        <v>0</v>
      </c>
      <c r="M17" s="43" t="n">
        <f aca="false">K17*L17</f>
        <v>0</v>
      </c>
      <c r="O17" s="58" t="n">
        <f aca="false">+G17/$G$29*$O$29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'[17]Team Report'!BA36</f>
        <v>5744.1</v>
      </c>
      <c r="E18" s="58" t="n">
        <f aca="false">+C18/9*12</f>
        <v>7658.8</v>
      </c>
      <c r="F18" s="58"/>
      <c r="G18" s="58" t="n">
        <f aca="false">+'IT Dev-EOL'!G18+'IT Infra'!H18</f>
        <v>1936000</v>
      </c>
      <c r="J18" s="0" t="s">
        <v>115</v>
      </c>
      <c r="K18" s="43" t="n">
        <v>57600</v>
      </c>
      <c r="L18" s="43" t="n">
        <v>2</v>
      </c>
      <c r="M18" s="43" t="n">
        <f aca="false">K18*L18</f>
        <v>115200</v>
      </c>
      <c r="O18" s="58" t="n">
        <f aca="false">+G18/$G$29*$O$29</f>
        <v>9728.6432160804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'[17]Team Report'!BA37</f>
        <v>67058.6</v>
      </c>
      <c r="E19" s="58" t="n">
        <f aca="false">+C19/9*12</f>
        <v>89411.4666666667</v>
      </c>
      <c r="F19" s="58"/>
      <c r="G19" s="58" t="n">
        <f aca="false">+'IT Dev-EOL'!G19+'IT Infra'!H19</f>
        <v>10849200.1798165</v>
      </c>
      <c r="J19" s="0" t="s">
        <v>118</v>
      </c>
      <c r="K19" s="43" t="n">
        <v>60000</v>
      </c>
      <c r="L19" s="43" t="n">
        <v>2</v>
      </c>
      <c r="M19" s="43" t="n">
        <f aca="false">K19*L19</f>
        <v>120000</v>
      </c>
      <c r="O19" s="58" t="n">
        <f aca="false">+G19/$G$29*$O$29</f>
        <v>54518.5938684247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'[17]Team Report'!BA38</f>
        <v>0</v>
      </c>
      <c r="E20" s="58" t="n">
        <f aca="false">+C20/9*12</f>
        <v>0</v>
      </c>
      <c r="F20" s="58"/>
      <c r="G20" s="58" t="n">
        <f aca="false">+'IT Dev-EOL'!G20+'IT Infra'!H20</f>
        <v>0</v>
      </c>
      <c r="J20" s="0" t="s">
        <v>121</v>
      </c>
      <c r="K20" s="43" t="n">
        <v>78000</v>
      </c>
      <c r="L20" s="43" t="n">
        <v>29</v>
      </c>
      <c r="M20" s="43" t="n">
        <f aca="false">K20*L20</f>
        <v>2262000</v>
      </c>
      <c r="O20" s="58" t="n">
        <f aca="false">+G20/$G$29*$O$29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'[17]Team Report'!BA42</f>
        <v>842429.76</v>
      </c>
      <c r="E21" s="58" t="n">
        <f aca="false">+C21/9*12</f>
        <v>1123239.68</v>
      </c>
      <c r="F21" s="58"/>
      <c r="G21" s="58" t="n">
        <f aca="false">+'IT Dev-EOL'!G21+'IT Infra'!H21</f>
        <v>7158622.6</v>
      </c>
      <c r="J21" s="0" t="s">
        <v>124</v>
      </c>
      <c r="K21" s="43" t="n">
        <v>102000</v>
      </c>
      <c r="L21" s="43" t="n">
        <v>60</v>
      </c>
      <c r="M21" s="43" t="n">
        <f aca="false">K21*L21</f>
        <v>6120000</v>
      </c>
      <c r="O21" s="58" t="n">
        <f aca="false">+G21/$G$29*$O$29</f>
        <v>35972.9778894473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'[17]Team Report'!BA44</f>
        <v>6453.7</v>
      </c>
      <c r="E22" s="58" t="n">
        <f aca="false">+C22/9*12</f>
        <v>8604.93333333333</v>
      </c>
      <c r="F22" s="58"/>
      <c r="G22" s="58" t="n">
        <f aca="false">+'IT Dev-EOL'!G22+'IT Infra'!H22</f>
        <v>0</v>
      </c>
      <c r="J22" s="0" t="s">
        <v>254</v>
      </c>
      <c r="K22" s="43" t="n">
        <v>192000</v>
      </c>
      <c r="L22" s="43" t="n">
        <v>7</v>
      </c>
      <c r="M22" s="43" t="n">
        <f aca="false">K22*L22</f>
        <v>1344000</v>
      </c>
      <c r="O22" s="58" t="n">
        <f aca="false">+G22/$G$29*$O$29</f>
        <v>0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14158713.55</v>
      </c>
      <c r="E23" s="68" t="n">
        <f aca="false">SUM(E8:E22)</f>
        <v>18878284.7333333</v>
      </c>
      <c r="F23" s="70"/>
      <c r="G23" s="68" t="n">
        <f aca="false">SUM(G8:G22)</f>
        <v>56107334.8899083</v>
      </c>
      <c r="J23" s="0" t="s">
        <v>255</v>
      </c>
      <c r="K23" s="43" t="n">
        <v>192000</v>
      </c>
      <c r="L23" s="43" t="n">
        <f aca="false">3+1</f>
        <v>4</v>
      </c>
      <c r="M23" s="43" t="n">
        <f aca="false">K23*L23</f>
        <v>768000</v>
      </c>
      <c r="O23" s="68" t="n">
        <f aca="false">SUM(O8:O22)</f>
        <v>281946.406481951</v>
      </c>
    </row>
    <row r="24" customFormat="false" ht="12.75" hidden="false" customHeight="false" outlineLevel="0" collapsed="false">
      <c r="J24" s="0" t="s">
        <v>133</v>
      </c>
      <c r="K24" s="43" t="n">
        <v>144000</v>
      </c>
      <c r="L24" s="43" t="n">
        <v>16</v>
      </c>
      <c r="M24" s="43" t="n">
        <f aca="false">K24*L24</f>
        <v>2304000</v>
      </c>
    </row>
    <row r="25" customFormat="false" ht="12.75" hidden="false" customHeight="false" outlineLevel="0" collapsed="false">
      <c r="B25" s="67" t="s">
        <v>9</v>
      </c>
      <c r="C25" s="101"/>
      <c r="E25" s="101" t="n">
        <v>111</v>
      </c>
      <c r="F25" s="3" t="n">
        <v>40</v>
      </c>
      <c r="G25" s="102" t="n">
        <v>199</v>
      </c>
      <c r="J25" s="0" t="s">
        <v>134</v>
      </c>
      <c r="K25" s="43" t="n">
        <v>168000</v>
      </c>
      <c r="L25" s="43" t="n">
        <v>11</v>
      </c>
      <c r="M25" s="43" t="n">
        <f aca="false">K25*L25</f>
        <v>1848000</v>
      </c>
      <c r="O25" s="71" t="n">
        <f aca="false">SUM(U16:U20,U23:U27)</f>
        <v>0</v>
      </c>
    </row>
    <row r="26" customFormat="false" ht="12.75" hidden="false" customHeight="false" outlineLevel="0" collapsed="false">
      <c r="J26" s="0" t="s">
        <v>135</v>
      </c>
      <c r="K26" s="43" t="n">
        <v>216000</v>
      </c>
      <c r="L26" s="43" t="n">
        <v>8</v>
      </c>
      <c r="M26" s="43" t="n">
        <f aca="false">K26*L26</f>
        <v>1728000</v>
      </c>
      <c r="O26" s="58"/>
    </row>
    <row r="27" customFormat="false" ht="12.75" hidden="false" customHeight="false" outlineLevel="0" collapsed="false">
      <c r="B27" s="67" t="s">
        <v>137</v>
      </c>
      <c r="C27" s="101"/>
      <c r="E27" s="101"/>
      <c r="F27" s="3"/>
      <c r="G27" s="101"/>
      <c r="J27" s="0" t="s">
        <v>136</v>
      </c>
      <c r="K27" s="43" t="n">
        <v>222000</v>
      </c>
      <c r="L27" s="43" t="n">
        <v>1</v>
      </c>
      <c r="M27" s="43" t="n">
        <f aca="false">K27*L27</f>
        <v>222000</v>
      </c>
      <c r="O27" s="71" t="n">
        <f aca="false">+U21+U22</f>
        <v>0</v>
      </c>
    </row>
    <row r="28" customFormat="false" ht="12.75" hidden="false" customHeight="false" outlineLevel="0" collapsed="false">
      <c r="J28" s="0" t="s">
        <v>138</v>
      </c>
      <c r="K28" s="43" t="n">
        <v>300000</v>
      </c>
      <c r="L28" s="43" t="n">
        <f aca="false">+'IT Dev'!L28+'IT EOL'!L28</f>
        <v>0</v>
      </c>
      <c r="M28" s="43" t="n">
        <f aca="false">K28*L28</f>
        <v>0</v>
      </c>
    </row>
    <row r="29" customFormat="false" ht="12.75" hidden="false" customHeight="false" outlineLevel="0" collapsed="false">
      <c r="B29" s="67" t="s">
        <v>139</v>
      </c>
      <c r="C29" s="101"/>
      <c r="E29" s="101" t="n">
        <f aca="false">SUM(E25:E28)</f>
        <v>111</v>
      </c>
      <c r="F29" s="3"/>
      <c r="G29" s="101" t="n">
        <f aca="false">SUM(G25:G28)</f>
        <v>199</v>
      </c>
      <c r="L29" s="43" t="n">
        <f aca="false">SUM(L17:L28)</f>
        <v>140</v>
      </c>
      <c r="M29" s="43" t="n">
        <f aca="false">SUM(M17:M28)</f>
        <v>16831200</v>
      </c>
      <c r="O29" s="71" t="n">
        <v>1</v>
      </c>
    </row>
    <row r="30" customFormat="false" ht="12.75" hidden="false" customHeight="false" outlineLevel="0" collapsed="false">
      <c r="B30" s="67"/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'[17]Team Report'!BA29</f>
        <v>-24140467.68</v>
      </c>
      <c r="E31" s="58" t="n">
        <v>0</v>
      </c>
      <c r="F31" s="58"/>
      <c r="J31" s="0" t="s">
        <v>228</v>
      </c>
      <c r="L31" s="72"/>
      <c r="M31" s="72" t="n">
        <v>0.2</v>
      </c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'[17]Team Report'!BA30</f>
        <v>0</v>
      </c>
      <c r="E32" s="58" t="n">
        <f aca="false">(C32/9)*12</f>
        <v>0</v>
      </c>
      <c r="F32" s="58"/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'[17]Team Report'!BA31</f>
        <v>0</v>
      </c>
      <c r="E33" s="58" t="n">
        <f aca="false">(C33/9)*12</f>
        <v>0</v>
      </c>
      <c r="F33" s="58"/>
      <c r="J33" s="0" t="s">
        <v>238</v>
      </c>
      <c r="K33" s="43" t="n">
        <v>160000</v>
      </c>
      <c r="L33" s="43" t="n">
        <v>0</v>
      </c>
      <c r="M33" s="43" t="n">
        <f aca="false">K33*L33</f>
        <v>0</v>
      </c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'[17]Team Report'!BA39</f>
        <v>0</v>
      </c>
      <c r="E34" s="58" t="n">
        <f aca="false">(C34/9)*12</f>
        <v>0</v>
      </c>
      <c r="F34" s="58"/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'[17]Team Report'!BA40</f>
        <v>164920.93</v>
      </c>
      <c r="E35" s="58" t="n">
        <v>0</v>
      </c>
      <c r="F35" s="58"/>
      <c r="L35" s="43" t="n">
        <f aca="false">+L29+L33</f>
        <v>140</v>
      </c>
      <c r="M35" s="43" t="n">
        <f aca="false">M29*1.2+M33</f>
        <v>20197440</v>
      </c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'[17]Team Report'!BA41</f>
        <v>945381.27</v>
      </c>
      <c r="E36" s="58" t="n">
        <v>0</v>
      </c>
      <c r="F36" s="58"/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'[17]Team Report'!BA43</f>
        <v>-5121278.52</v>
      </c>
      <c r="E37" s="58" t="n">
        <v>0</v>
      </c>
      <c r="F37" s="58"/>
      <c r="I37" s="16" t="s">
        <v>140</v>
      </c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'[17]Team Report'!BA45</f>
        <v>0</v>
      </c>
      <c r="E38" s="58" t="n">
        <f aca="false">(C38/9)*12</f>
        <v>0</v>
      </c>
      <c r="F38" s="58"/>
    </row>
    <row r="39" customFormat="false" ht="12.75" hidden="true" customHeight="false" outlineLevel="0" collapsed="false">
      <c r="A39" s="56" t="s">
        <v>106</v>
      </c>
      <c r="B39" s="57" t="s">
        <v>107</v>
      </c>
      <c r="C39" s="58" t="n">
        <v>24143776.43</v>
      </c>
      <c r="E39" s="58" t="n">
        <v>0</v>
      </c>
      <c r="F39" s="58"/>
      <c r="I39" s="0" t="s">
        <v>239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96" t="n">
        <f aca="false">C23+C31+C32+C33+C34+C35+C36+C37+C38</f>
        <v>-13992730.45</v>
      </c>
    </row>
    <row r="46" customFormat="false" ht="12.75" hidden="false" customHeight="false" outlineLevel="0" collapsed="false">
      <c r="B46" s="57" t="s">
        <v>279</v>
      </c>
    </row>
    <row r="47" customFormat="false" ht="12.75" hidden="false" customHeight="false" outlineLevel="0" collapsed="false">
      <c r="B47" s="57"/>
    </row>
    <row r="48" customFormat="false" ht="12.75" hidden="false" customHeight="false" outlineLevel="0" collapsed="false">
      <c r="B48" s="57"/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9.7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4" t="str">
        <f aca="false">'[3]Team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147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  <c r="N5" s="76" t="s">
        <v>148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N6" s="54" t="s">
        <v>90</v>
      </c>
      <c r="Q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N7" s="55" t="s">
        <v>94</v>
      </c>
      <c r="Q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v>713715</v>
      </c>
      <c r="I8" s="52" t="s">
        <v>96</v>
      </c>
      <c r="J8" s="43" t="n">
        <v>0</v>
      </c>
      <c r="L8" s="53" t="n">
        <f aca="false">L30</f>
        <v>1507968</v>
      </c>
      <c r="N8" s="58" t="n">
        <f aca="false">H8/2*1.5+75670+10715</f>
        <v>621671.25</v>
      </c>
      <c r="Q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58" t="n">
        <v>0</v>
      </c>
      <c r="G9" s="59" t="n">
        <f aca="false">E9/$E$23</f>
        <v>0</v>
      </c>
      <c r="H9" s="58"/>
      <c r="I9" s="52"/>
      <c r="L9" s="53"/>
      <c r="N9" s="58"/>
      <c r="Q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58"/>
      <c r="E10" s="58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59" t="n">
        <f aca="false">E10/$E$23</f>
        <v>0.00377976191391553</v>
      </c>
      <c r="H10" s="58" t="n">
        <v>0</v>
      </c>
      <c r="I10" s="52"/>
      <c r="L10" s="53"/>
      <c r="N10" s="58" t="n">
        <v>420200</v>
      </c>
      <c r="Q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v>129448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10</v>
      </c>
      <c r="L11" s="53" t="n">
        <f aca="false">J11*K11</f>
        <v>482701.8125</v>
      </c>
      <c r="N11" s="58" t="n">
        <f aca="false">H11/2*1.5+24992</f>
        <v>122078</v>
      </c>
      <c r="Q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v>30000</v>
      </c>
      <c r="I12" s="52"/>
      <c r="L12" s="53"/>
      <c r="N12" s="58" t="n">
        <v>75000</v>
      </c>
      <c r="Q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v>30000</v>
      </c>
      <c r="I13" s="63" t="s">
        <v>105</v>
      </c>
      <c r="J13" s="64"/>
      <c r="K13" s="64"/>
      <c r="L13" s="65" t="n">
        <f aca="false">L8+L11</f>
        <v>1990669.8125</v>
      </c>
      <c r="N13" s="58" t="n">
        <v>75000</v>
      </c>
      <c r="P13" s="60"/>
      <c r="Q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v>0</v>
      </c>
      <c r="N14" s="58" t="n">
        <v>0</v>
      </c>
      <c r="Q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v>20000</v>
      </c>
      <c r="N15" s="58" t="n">
        <v>50000</v>
      </c>
      <c r="Q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N16" s="58" t="n">
        <v>0</v>
      </c>
      <c r="Q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v>236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N17" s="58" t="n">
        <v>590</v>
      </c>
      <c r="Q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v>0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N18" s="58" t="n">
        <v>0</v>
      </c>
      <c r="Q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v>40000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N19" s="58" t="n">
        <v>100000</v>
      </c>
      <c r="Q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v>0.8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N20" s="58" t="n">
        <v>2</v>
      </c>
      <c r="Q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v>6000</v>
      </c>
      <c r="I21" s="43" t="s">
        <v>127</v>
      </c>
      <c r="J21" s="43" t="n">
        <v>60500</v>
      </c>
      <c r="K21" s="43" t="n">
        <v>4</v>
      </c>
      <c r="L21" s="43" t="n">
        <f aca="false">J21*K21</f>
        <v>242000</v>
      </c>
      <c r="N21" s="58" t="n">
        <v>15000</v>
      </c>
      <c r="P21" s="21"/>
      <c r="Q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2</v>
      </c>
      <c r="L22" s="43" t="n">
        <f aca="false">J22*K22</f>
        <v>178200</v>
      </c>
      <c r="N22" s="58" t="n">
        <v>0</v>
      </c>
      <c r="P22" s="21"/>
      <c r="Q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969399.8</v>
      </c>
      <c r="I23" s="43" t="s">
        <v>133</v>
      </c>
      <c r="J23" s="43" t="n">
        <v>110000</v>
      </c>
      <c r="K23" s="43" t="n">
        <v>0</v>
      </c>
      <c r="L23" s="43" t="n">
        <f aca="false">J23*K23</f>
        <v>0</v>
      </c>
      <c r="N23" s="68" t="n">
        <f aca="false">SUM(N8:N22)</f>
        <v>1479541.25</v>
      </c>
      <c r="P23" s="21"/>
      <c r="Q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f aca="false">3</f>
        <v>3</v>
      </c>
      <c r="L24" s="43" t="n">
        <f aca="false">J24*K24</f>
        <v>429000</v>
      </c>
      <c r="P24" s="21"/>
      <c r="Q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1" t="n">
        <f aca="false">+K16+K17+K18+K19+K20+K23+K24+K25+K26+K27</f>
        <v>4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P25" s="21"/>
      <c r="Q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1</v>
      </c>
      <c r="L26" s="43" t="n">
        <f aca="false">J26*K26</f>
        <v>198000</v>
      </c>
      <c r="P26" s="21"/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1" t="n">
        <v>0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P27" s="21"/>
      <c r="Q27" s="58"/>
    </row>
    <row r="28" customFormat="false" ht="12.75" hidden="false" customHeight="false" outlineLevel="0" collapsed="false">
      <c r="K28" s="43" t="n">
        <f aca="false">SUM(K16:K27)</f>
        <v>10</v>
      </c>
      <c r="L28" s="43" t="n">
        <f aca="false">SUM(L16:L27)*1.2</f>
        <v>1256640</v>
      </c>
      <c r="P28" s="21"/>
      <c r="Q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4</v>
      </c>
      <c r="L29" s="72" t="n">
        <v>0.2</v>
      </c>
      <c r="P29" s="21"/>
      <c r="Q29" s="58"/>
    </row>
    <row r="30" customFormat="false" ht="12.75" hidden="true" customHeight="false" outlineLevel="0" collapsed="false">
      <c r="L30" s="43" t="n">
        <f aca="false">L28*1.2</f>
        <v>1507968</v>
      </c>
      <c r="P30" s="21"/>
      <c r="Q30" s="21"/>
    </row>
    <row r="31" customFormat="false" ht="12.75" hidden="true" customHeight="false" outlineLevel="0" collapsed="false">
      <c r="H31" s="16" t="s">
        <v>140</v>
      </c>
      <c r="L31" s="0"/>
      <c r="P31" s="21"/>
      <c r="Q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P32" s="21"/>
      <c r="Q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P33" s="21"/>
      <c r="Q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10</v>
      </c>
      <c r="L34" s="74" t="n">
        <f aca="false">+J34*K34</f>
        <v>482701.8125</v>
      </c>
      <c r="P34" s="21"/>
      <c r="Q34" s="21"/>
    </row>
    <row r="35" customFormat="false" ht="12.75" hidden="true" customHeight="false" outlineLevel="0" collapsed="false">
      <c r="P35" s="21"/>
      <c r="Q35" s="21"/>
    </row>
    <row r="36" customFormat="false" ht="12.75" hidden="true" customHeight="false" outlineLevel="0" collapsed="false">
      <c r="P36" s="21"/>
      <c r="Q36" s="21"/>
    </row>
    <row r="37" customFormat="false" ht="12.75" hidden="true" customHeight="false" outlineLevel="0" collapsed="false">
      <c r="P37" s="21"/>
      <c r="Q37" s="21"/>
    </row>
    <row r="38" customFormat="false" ht="12.75" hidden="true" customHeight="false" outlineLevel="0" collapsed="false">
      <c r="P38" s="21"/>
      <c r="Q38" s="21"/>
    </row>
    <row r="39" customFormat="false" ht="12.75" hidden="false" customHeight="false" outlineLevel="0" collapsed="false">
      <c r="P39" s="21"/>
      <c r="Q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274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Q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Q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f aca="false">+'Competitive Ana'!F8+'Gas - Fund'!H8+'East - Fund'!F8</f>
        <v>1316380</v>
      </c>
      <c r="I8" s="52" t="s">
        <v>96</v>
      </c>
      <c r="J8" s="43" t="n">
        <v>0</v>
      </c>
      <c r="L8" s="53" t="n">
        <f aca="false">L30</f>
        <v>2208096</v>
      </c>
      <c r="Q8" s="58" t="n">
        <f aca="false">+H8/$H$29*$Q$29</f>
        <v>50630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8" t="n">
        <v>0</v>
      </c>
      <c r="G9" s="59" t="n">
        <f aca="false">E9/$E$23</f>
        <v>0</v>
      </c>
      <c r="H9" s="58" t="n">
        <f aca="false">+'Competitive Ana'!F9+'Gas - Fund'!H9+'East - Fund'!F9</f>
        <v>0</v>
      </c>
      <c r="I9" s="52"/>
      <c r="L9" s="53"/>
      <c r="Q9" s="58" t="n">
        <f aca="false">+H9/$H$29*$Q$29</f>
        <v>0</v>
      </c>
    </row>
    <row r="10" customFormat="false" ht="12.75" hidden="false" customHeight="false" outlineLevel="0" collapsed="false">
      <c r="A10" s="56"/>
      <c r="B10" s="57" t="s">
        <v>98</v>
      </c>
      <c r="C10" s="58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8"/>
      <c r="E10" s="58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9" t="n">
        <f aca="false">E10/$E$23</f>
        <v>0.00377976191391553</v>
      </c>
      <c r="H10" s="58" t="n">
        <f aca="false">+'Competitive Ana'!F10+'Gas - Fund'!H10+'East - Fund'!F10</f>
        <v>1137500</v>
      </c>
      <c r="I10" s="52"/>
      <c r="L10" s="53"/>
      <c r="Q10" s="58" t="n">
        <f aca="false">+H10/$H$29*$Q$29</f>
        <v>43750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+'Competitive Ana'!F11+'Gas - Fund'!H11+'East - Fund'!F11</f>
        <v>490776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17</v>
      </c>
      <c r="L11" s="53" t="n">
        <f aca="false">J11*K11</f>
        <v>820593.08125</v>
      </c>
      <c r="Q11" s="58" t="n">
        <f aca="false">+H11/$H$29*$Q$29</f>
        <v>18876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f aca="false">+'Competitive Ana'!F12+'Gas - Fund'!H12+'East - Fund'!F12</f>
        <v>149533.479174265</v>
      </c>
      <c r="I12" s="52"/>
      <c r="L12" s="53"/>
      <c r="Q12" s="58" t="n">
        <f aca="false">+H12/$H$29*$Q$29</f>
        <v>5751.28766054867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f aca="false">+'Competitive Ana'!F13+'Gas - Fund'!H13+'East - Fund'!F13</f>
        <v>210573.79887386</v>
      </c>
      <c r="I13" s="63" t="s">
        <v>105</v>
      </c>
      <c r="J13" s="64"/>
      <c r="K13" s="64"/>
      <c r="L13" s="65" t="n">
        <f aca="false">L8+L11</f>
        <v>3028689.08125</v>
      </c>
      <c r="N13" s="43" t="n">
        <v>24109311.029375</v>
      </c>
      <c r="P13" s="60" t="n">
        <f aca="false">N13-L13</f>
        <v>21080621.948125</v>
      </c>
      <c r="Q13" s="58" t="n">
        <f aca="false">+H13/$H$29*$Q$29</f>
        <v>8098.99226437924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f aca="false">+'Competitive Ana'!F14+'Gas - Fund'!H14+'East - Fund'!F14</f>
        <v>1955600.00942857</v>
      </c>
      <c r="Q14" s="58" t="n">
        <f aca="false">+H14/$H$29*$Q$29</f>
        <v>75215.384978022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f aca="false">+'Competitive Ana'!F15+'Gas - Fund'!H15+'East - Fund'!F15</f>
        <v>26135.7059316109</v>
      </c>
      <c r="Q15" s="58" t="n">
        <f aca="false">+H15/$H$29*$Q$29</f>
        <v>1005.21945890811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f aca="false">+'Competitive Ana'!F16+'Gas - Fund'!H16+'East - Fund'!F16</f>
        <v>0</v>
      </c>
      <c r="I16" s="43" t="s">
        <v>112</v>
      </c>
      <c r="J16" s="43" t="n">
        <v>33000</v>
      </c>
      <c r="K16" s="43" t="n">
        <v>1</v>
      </c>
      <c r="L16" s="43" t="n">
        <f aca="false">J16*K16</f>
        <v>33000</v>
      </c>
      <c r="Q16" s="58" t="n">
        <f aca="false">+H16/$H$29*$Q$29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f aca="false">+'Competitive Ana'!F17+'Gas - Fund'!H17+'East - Fund'!F17</f>
        <v>1109.32624113475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Q17" s="58" t="n">
        <f aca="false">+H17/$H$29*$Q$29</f>
        <v>42.6663938897981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f aca="false">+'Competitive Ana'!F18+'Gas - Fund'!H18+'East - Fund'!F18</f>
        <v>12773.5936033435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Q18" s="58" t="n">
        <f aca="false">+H18/$H$29*$Q$29</f>
        <v>491.292061667056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f aca="false">+'Competitive Ana'!F19+'Gas - Fund'!H19+'East - Fund'!F19</f>
        <v>118934.137338399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Q19" s="58" t="n">
        <f aca="false">+H19/$H$29*$Q$29</f>
        <v>4574.38989763074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f aca="false">+'Competitive Ana'!F20+'Gas - Fund'!H20+'East - Fund'!F20</f>
        <v>10.5023044579534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Q20" s="58" t="n">
        <f aca="false">+H20/$H$29*$Q$29</f>
        <v>0.403934786844361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f aca="false">+'Competitive Ana'!F21+'Gas - Fund'!H21+'East - Fund'!F21</f>
        <v>122393.653076494</v>
      </c>
      <c r="I21" s="43" t="s">
        <v>127</v>
      </c>
      <c r="J21" s="43" t="n">
        <v>60500</v>
      </c>
      <c r="K21" s="43" t="n">
        <v>6</v>
      </c>
      <c r="L21" s="43" t="n">
        <f aca="false">J21*K21</f>
        <v>363000</v>
      </c>
      <c r="Q21" s="58" t="n">
        <f aca="false">+H21/$H$29*$Q$29</f>
        <v>4707.44819524978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f aca="false">+'Competitive Ana'!F22+'Gas - Fund'!H22+'East - Fund'!F22</f>
        <v>131310.92964843</v>
      </c>
      <c r="I22" s="43" t="s">
        <v>130</v>
      </c>
      <c r="J22" s="43" t="n">
        <v>89100</v>
      </c>
      <c r="K22" s="43" t="n">
        <v>4</v>
      </c>
      <c r="L22" s="43" t="n">
        <f aca="false">J22*K22</f>
        <v>356400</v>
      </c>
      <c r="Q22" s="58" t="n">
        <f aca="false">+H22/$H$29*$Q$29</f>
        <v>5050.42037109345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5673031.13562057</v>
      </c>
      <c r="I23" s="43" t="s">
        <v>133</v>
      </c>
      <c r="J23" s="43" t="n">
        <v>110000</v>
      </c>
      <c r="K23" s="43" t="n">
        <v>4</v>
      </c>
      <c r="L23" s="43" t="n">
        <f aca="false">J23*K23</f>
        <v>440000</v>
      </c>
      <c r="Q23" s="68" t="n">
        <f aca="false">SUM(Q8:Q22)</f>
        <v>218193.505216176</v>
      </c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1</v>
      </c>
      <c r="L24" s="43" t="n">
        <f aca="false">J24*K24</f>
        <v>143000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1" t="n">
        <f aca="false">+'Competitive Ana'!F25+'Gas - Fund'!H25+'East - Fund'!F25</f>
        <v>11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Q25" s="71" t="n">
        <f aca="false">+T16+T17+T18+T19+T20+T23+T24+T25+T26+T27</f>
        <v>0</v>
      </c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1</v>
      </c>
      <c r="L26" s="43" t="n">
        <f aca="false">J26*K26</f>
        <v>198000</v>
      </c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1" t="n">
        <f aca="false">+'Competitive Ana'!F27+'Gas - Fund'!H27+'East - Fund'!F27</f>
        <v>15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Q27" s="71" t="n">
        <f aca="false">+T21+T22</f>
        <v>0</v>
      </c>
    </row>
    <row r="28" customFormat="false" ht="12.75" hidden="false" customHeight="false" outlineLevel="0" collapsed="false">
      <c r="K28" s="43" t="n">
        <f aca="false">SUM(K16:K27)</f>
        <v>17</v>
      </c>
      <c r="L28" s="43" t="n">
        <f aca="false">SUM(L16:L27)*1.2</f>
        <v>1840080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26</v>
      </c>
      <c r="L29" s="72" t="n">
        <v>0.2</v>
      </c>
      <c r="Q29" s="71" t="n">
        <v>1</v>
      </c>
    </row>
    <row r="30" customFormat="false" ht="12.75" hidden="true" customHeight="false" outlineLevel="0" collapsed="false">
      <c r="L30" s="43" t="n">
        <f aca="false">L28*1.2</f>
        <v>2208096</v>
      </c>
    </row>
    <row r="31" customFormat="false" ht="12.75" hidden="true" customHeight="false" outlineLevel="0" collapsed="false">
      <c r="H31" s="16" t="s">
        <v>140</v>
      </c>
      <c r="L31" s="0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17</v>
      </c>
      <c r="L34" s="74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85"/>
    <col collapsed="false" customWidth="true" hidden="true" outlineLevel="0" max="7" min="7" style="0" width="13.28"/>
    <col collapsed="false" customWidth="true" hidden="true" outlineLevel="0" max="8" min="8" style="0" width="1.7"/>
    <col collapsed="false" customWidth="true" hidden="true" outlineLevel="0" max="9" min="9" style="0" width="19.41"/>
    <col collapsed="false" customWidth="true" hidden="true" outlineLevel="0" max="10" min="10" style="0" width="11.99"/>
    <col collapsed="false" customWidth="true" hidden="true" outlineLevel="0" max="11" min="11" style="0" width="8.85"/>
    <col collapsed="false" customWidth="true" hidden="true" outlineLevel="0" max="12" min="12" style="0" width="12.7"/>
    <col collapsed="false" customWidth="true" hidden="true" outlineLevel="0" max="13" min="13" style="0" width="9.14"/>
    <col collapsed="false" customWidth="true" hidden="true" outlineLevel="0" max="14" min="14" style="0" width="11.28"/>
    <col collapsed="false" customWidth="true" hidden="true" outlineLevel="0" max="15" min="15" style="0" width="9.14"/>
    <col collapsed="false" customWidth="false" hidden="true" outlineLevel="0" max="27" min="16" style="0" width="9.06"/>
  </cols>
  <sheetData>
    <row r="1" customFormat="false" ht="18" hidden="false" customHeight="false" outlineLevel="0" collapsed="false">
      <c r="B1" s="44" t="str">
        <f aca="false">'[23]Team Report'!B1</f>
        <v>Enron North America</v>
      </c>
      <c r="C1" s="44"/>
      <c r="D1" s="44"/>
      <c r="E1" s="44"/>
      <c r="F1" s="44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customFormat="false" ht="18" hidden="false" customHeight="false" outlineLevel="0" collapsed="false">
      <c r="B2" s="44" t="str">
        <f aca="false">'[23]Pull Sheet'!E9</f>
        <v>Competitive Analysis</v>
      </c>
      <c r="C2" s="44"/>
      <c r="D2" s="44"/>
      <c r="E2" s="44"/>
      <c r="F2" s="44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customFormat="false" ht="18" hidden="false" customHeight="false" outlineLevel="0" collapsed="false">
      <c r="B3" s="47" t="s">
        <v>5</v>
      </c>
      <c r="C3" s="47"/>
      <c r="D3" s="47"/>
      <c r="E3" s="47"/>
      <c r="F3" s="47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customFormat="false" ht="13.5" hidden="false" customHeight="false" outlineLevel="0" collapsed="false"/>
    <row r="5" customFormat="false" ht="12.75" hidden="false" customHeight="false" outlineLevel="0" collapsed="false">
      <c r="I5" s="79"/>
      <c r="J5" s="50"/>
      <c r="K5" s="50"/>
      <c r="L5" s="51"/>
    </row>
    <row r="6" customFormat="false" ht="12.75" hidden="false" customHeight="false" outlineLevel="0" collapsed="false">
      <c r="C6" s="54" t="n">
        <v>37135</v>
      </c>
      <c r="E6" s="94" t="n">
        <v>2001</v>
      </c>
      <c r="F6" s="94" t="n">
        <v>2002</v>
      </c>
      <c r="I6" s="82"/>
      <c r="J6" s="74" t="s">
        <v>85</v>
      </c>
      <c r="K6" s="74" t="s">
        <v>86</v>
      </c>
      <c r="L6" s="98" t="s">
        <v>196</v>
      </c>
      <c r="O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 t="s">
        <v>94</v>
      </c>
      <c r="G7" s="16"/>
      <c r="I7" s="82"/>
      <c r="J7" s="43"/>
      <c r="K7" s="43"/>
      <c r="L7" s="5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'[23]Team Report'!BA25</f>
        <v>1004954.44</v>
      </c>
      <c r="E8" s="58" t="n">
        <f aca="false">(C8/9)*12</f>
        <v>1339939.25333333</v>
      </c>
      <c r="F8" s="58" t="n">
        <f aca="false">L29</f>
        <v>406800</v>
      </c>
      <c r="I8" s="82"/>
      <c r="J8" s="43"/>
      <c r="K8" s="43"/>
      <c r="L8" s="53"/>
      <c r="O8" s="58" t="n">
        <f aca="false">+F8/$F$29*$O$29</f>
        <v>81360</v>
      </c>
    </row>
    <row r="9" customFormat="false" ht="12.75" hidden="true" customHeight="true" outlineLevel="0" collapsed="false">
      <c r="A9" s="56"/>
      <c r="B9" s="57" t="s">
        <v>97</v>
      </c>
      <c r="C9" s="58" t="n">
        <v>0</v>
      </c>
      <c r="E9" s="58" t="n">
        <f aca="false">(C9/9)*12</f>
        <v>0</v>
      </c>
      <c r="F9" s="58" t="n">
        <f aca="false">(D9/9)*12</f>
        <v>0</v>
      </c>
      <c r="I9" s="82" t="s">
        <v>96</v>
      </c>
      <c r="J9" s="43" t="n">
        <v>0</v>
      </c>
      <c r="K9" s="43" t="n">
        <f aca="false">K29</f>
        <v>5</v>
      </c>
      <c r="L9" s="53" t="n">
        <f aca="false">L33</f>
        <v>488160</v>
      </c>
      <c r="O9" s="58" t="n">
        <f aca="false">+F9/$F$29*$O$29</f>
        <v>0</v>
      </c>
    </row>
    <row r="10" customFormat="false" ht="12.75" hidden="true" customHeight="true" outlineLevel="0" collapsed="false">
      <c r="B10" s="57" t="s">
        <v>176</v>
      </c>
      <c r="C10" s="58" t="n">
        <v>0</v>
      </c>
      <c r="E10" s="58" t="n">
        <f aca="false">(C10/9)*12</f>
        <v>0</v>
      </c>
      <c r="F10" s="58" t="n">
        <f aca="false">(D10/9)*12</f>
        <v>0</v>
      </c>
      <c r="I10" s="82"/>
      <c r="J10" s="43"/>
      <c r="K10" s="43"/>
      <c r="L10" s="53"/>
      <c r="O10" s="58" t="n">
        <f aca="false">+F10/$F$29*$O$29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'[23]Team Report'!BA26</f>
        <v>241285.2</v>
      </c>
      <c r="E11" s="58" t="n">
        <f aca="false">(C11/9)*12</f>
        <v>321713.6</v>
      </c>
      <c r="F11" s="58" t="n">
        <f aca="false">L33-L29</f>
        <v>81360</v>
      </c>
      <c r="I11" s="82"/>
      <c r="J11" s="43"/>
      <c r="K11" s="43"/>
      <c r="L11" s="53"/>
      <c r="O11" s="58" t="n">
        <f aca="false">+F11/$F$29*$O$29</f>
        <v>16272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'[23]Team Report'!BA27</f>
        <v>64034.85</v>
      </c>
      <c r="E12" s="62" t="n">
        <f aca="false">((C12/9)*12)*1.25</f>
        <v>106724.75</v>
      </c>
      <c r="F12" s="58" t="n">
        <f aca="false">(E12/$E$29)*$F$29</f>
        <v>19057.9910714286</v>
      </c>
      <c r="I12" s="82" t="s">
        <v>67</v>
      </c>
      <c r="J12" s="43" t="n">
        <f aca="false">(E12+E13+E14+E15+E16+E17+E18+E19+E20+E21+E22)/E29</f>
        <v>29159.271</v>
      </c>
      <c r="K12" s="43" t="n">
        <f aca="false">K29</f>
        <v>5</v>
      </c>
      <c r="L12" s="53" t="n">
        <f aca="false">J12*K12</f>
        <v>145796.355</v>
      </c>
      <c r="O12" s="58" t="n">
        <f aca="false">+F12/$F$29*$O$29</f>
        <v>3811.59821428571</v>
      </c>
    </row>
    <row r="13" customFormat="false" ht="12.75" hidden="false" customHeight="false" outlineLevel="0" collapsed="false">
      <c r="A13" s="56" t="s">
        <v>103</v>
      </c>
      <c r="B13" s="57" t="s">
        <v>104</v>
      </c>
      <c r="C13" s="58" t="n">
        <f aca="false">'[23]Team Report'!BA28</f>
        <v>201286.6</v>
      </c>
      <c r="E13" s="62" t="n">
        <f aca="false">((C13/9)*12)*1.17</f>
        <v>314007.096</v>
      </c>
      <c r="F13" s="58" t="n">
        <f aca="false">(E13/$E$29)*$F$29+63927</f>
        <v>119999.695714286</v>
      </c>
      <c r="I13" s="82"/>
      <c r="J13" s="43"/>
      <c r="K13" s="43"/>
      <c r="L13" s="53"/>
      <c r="O13" s="58" t="n">
        <f aca="false">+F13/$F$29*$O$29</f>
        <v>23999.9391428571</v>
      </c>
    </row>
    <row r="14" customFormat="false" ht="13.5" hidden="false" customHeight="false" outlineLevel="0" collapsed="false">
      <c r="A14" s="56" t="s">
        <v>106</v>
      </c>
      <c r="B14" s="57" t="s">
        <v>107</v>
      </c>
      <c r="C14" s="58" t="n">
        <f aca="false">'[23]Team Report'!BA32-C39</f>
        <v>-0.0600000000558794</v>
      </c>
      <c r="E14" s="62" t="n">
        <f aca="false">((C14/9)*12)*1.3</f>
        <v>-0.104000000096858</v>
      </c>
      <c r="F14" s="58" t="n">
        <f aca="false">(E14/$E$29)*$F$29+480000</f>
        <v>479999.981428571</v>
      </c>
      <c r="I14" s="87" t="s">
        <v>105</v>
      </c>
      <c r="J14" s="64"/>
      <c r="K14" s="64"/>
      <c r="L14" s="65" t="n">
        <f aca="false">SUM(L9:L12)</f>
        <v>633956.355</v>
      </c>
      <c r="N14" s="43"/>
      <c r="O14" s="58" t="n">
        <f aca="false">+F14/$F$29*$O$29</f>
        <v>95999.9962857143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'[23]Team Report'!BA33</f>
        <v>21945.55</v>
      </c>
      <c r="E15" s="62" t="n">
        <f aca="false">((C15/9)*12)*1.25</f>
        <v>36575.9166666667</v>
      </c>
      <c r="F15" s="58" t="n">
        <f aca="false">(E15/$E$29)*$F$29</f>
        <v>6531.41369047619</v>
      </c>
      <c r="I15" s="21"/>
      <c r="J15" s="43"/>
      <c r="K15" s="43"/>
      <c r="L15" s="43"/>
      <c r="O15" s="58" t="n">
        <f aca="false">+F15/$F$29*$O$29</f>
        <v>1306.28273809524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'[23]Team Report'!BA34</f>
        <v>0</v>
      </c>
      <c r="E16" s="62" t="n">
        <f aca="false">((C16/9)*12)*1.3</f>
        <v>0</v>
      </c>
      <c r="F16" s="58" t="n">
        <f aca="false">(E16/$E$29)*$F$29</f>
        <v>0</v>
      </c>
      <c r="I16" s="21"/>
      <c r="J16" s="43"/>
      <c r="K16" s="43"/>
      <c r="L16" s="43"/>
      <c r="O16" s="58" t="n">
        <f aca="false">+F16/$F$29*$O$29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'[23]Team Report'!BA35</f>
        <v>0</v>
      </c>
      <c r="E17" s="62" t="n">
        <f aca="false">((C17/9)*12)*1.3</f>
        <v>0</v>
      </c>
      <c r="F17" s="58" t="n">
        <f aca="false">(E17/$E$29)*$F$29</f>
        <v>0</v>
      </c>
      <c r="I17" s="21" t="s">
        <v>177</v>
      </c>
      <c r="J17" s="43" t="n">
        <f aca="false">36000</f>
        <v>36000</v>
      </c>
      <c r="K17" s="43" t="n">
        <f aca="false">H17*J17</f>
        <v>0</v>
      </c>
      <c r="L17" s="43" t="n">
        <f aca="false">J17*K17</f>
        <v>0</v>
      </c>
      <c r="O17" s="58" t="n">
        <f aca="false">+F17/$F$29*$O$29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'[23]Team Report'!BA36</f>
        <v>837.87</v>
      </c>
      <c r="E18" s="62" t="n">
        <f aca="false">((C18/9)*12)*1.25</f>
        <v>1396.45</v>
      </c>
      <c r="F18" s="58" t="n">
        <f aca="false">(E18/$E$29)*$F$29</f>
        <v>249.366071428571</v>
      </c>
      <c r="I18" s="0" t="s">
        <v>220</v>
      </c>
      <c r="J18" s="43" t="n">
        <v>48000</v>
      </c>
      <c r="K18" s="43" t="n">
        <v>1</v>
      </c>
      <c r="L18" s="43" t="n">
        <f aca="false">J18*K18</f>
        <v>48000</v>
      </c>
      <c r="O18" s="58" t="n">
        <f aca="false">+F18/$F$29*$O$29</f>
        <v>49.8732142857143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'[23]Team Report'!BA37</f>
        <v>24222.35</v>
      </c>
      <c r="E19" s="62" t="n">
        <f aca="false">((C19/9)*12)*1.3</f>
        <v>41985.4066666667</v>
      </c>
      <c r="F19" s="58" t="n">
        <f aca="false">(E19/$E$29)*$F$29+60000</f>
        <v>67497.3940476191</v>
      </c>
      <c r="I19" s="0" t="s">
        <v>118</v>
      </c>
      <c r="J19" s="43" t="n">
        <v>49200</v>
      </c>
      <c r="K19" s="43" t="n">
        <v>0</v>
      </c>
      <c r="L19" s="43" t="n">
        <f aca="false">J19*K19</f>
        <v>0</v>
      </c>
      <c r="O19" s="58" t="n">
        <f aca="false">+F19/$F$29*$O$29</f>
        <v>13499.4788095238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'[23]Team Report'!BA38</f>
        <v>8.15</v>
      </c>
      <c r="E20" s="62" t="n">
        <f aca="false">((C20/9)*12)*1.25</f>
        <v>13.5833333333333</v>
      </c>
      <c r="F20" s="58" t="n">
        <f aca="false">(E20/$E$29)*$F$29</f>
        <v>2.42559523809524</v>
      </c>
      <c r="I20" s="0" t="s">
        <v>221</v>
      </c>
      <c r="J20" s="43" t="n">
        <v>57600</v>
      </c>
      <c r="K20" s="43" t="n">
        <v>0</v>
      </c>
      <c r="L20" s="43" t="n">
        <f aca="false">J20*K20</f>
        <v>0</v>
      </c>
      <c r="O20" s="58" t="n">
        <f aca="false">+F20/$F$29*$O$29</f>
        <v>0.485119047619048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'[23]Team Report'!BA42</f>
        <v>196834.1</v>
      </c>
      <c r="E21" s="62" t="n">
        <f aca="false">((C21/9)*12)*1.2</f>
        <v>314934.56</v>
      </c>
      <c r="F21" s="58" t="n">
        <f aca="false">(E21/$E$29)*$F$29</f>
        <v>56238.3142857143</v>
      </c>
      <c r="I21" s="0" t="s">
        <v>130</v>
      </c>
      <c r="J21" s="43" t="n">
        <v>72000</v>
      </c>
      <c r="K21" s="43" t="n">
        <v>0</v>
      </c>
      <c r="L21" s="43" t="n">
        <f aca="false">J21*K21</f>
        <v>0</v>
      </c>
      <c r="O21" s="58" t="n">
        <f aca="false">+F21/$F$29*$O$29</f>
        <v>11247.6628571429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'[23]Team Report'!BA44</f>
        <v>474.19</v>
      </c>
      <c r="E22" s="62" t="n">
        <f aca="false">((C22/9)*12)*1.3</f>
        <v>821.929333333333</v>
      </c>
      <c r="F22" s="58" t="n">
        <f aca="false">(E22/$E$29)*$F$29</f>
        <v>146.773095238095</v>
      </c>
      <c r="I22" s="0" t="s">
        <v>121</v>
      </c>
      <c r="J22" s="43" t="n">
        <v>62400</v>
      </c>
      <c r="K22" s="43" t="n">
        <v>0</v>
      </c>
      <c r="L22" s="43" t="n">
        <f aca="false">J22*K22</f>
        <v>0</v>
      </c>
      <c r="O22" s="58" t="n">
        <f aca="false">+F22/$F$29*$O$29</f>
        <v>29.354619047619</v>
      </c>
    </row>
    <row r="23" customFormat="false" ht="13.5" hidden="false" customHeight="false" outlineLevel="0" collapsed="false">
      <c r="A23" s="66" t="s">
        <v>131</v>
      </c>
      <c r="B23" s="67" t="s">
        <v>132</v>
      </c>
      <c r="C23" s="68" t="n">
        <f aca="false">SUM(C8:C22)</f>
        <v>1755883.24</v>
      </c>
      <c r="E23" s="68" t="n">
        <f aca="false">SUM(E8:E22)</f>
        <v>2478112.44133333</v>
      </c>
      <c r="F23" s="68" t="n">
        <f aca="false">SUM(F8:F22)</f>
        <v>1237883.355</v>
      </c>
      <c r="I23" s="0" t="s">
        <v>241</v>
      </c>
      <c r="J23" s="43" t="n">
        <v>74400</v>
      </c>
      <c r="K23" s="43" t="n">
        <v>2</v>
      </c>
      <c r="L23" s="43" t="n">
        <f aca="false">J23*K23</f>
        <v>148800</v>
      </c>
      <c r="O23" s="90" t="n">
        <f aca="false">SUM(O8:O22)</f>
        <v>247576.671</v>
      </c>
    </row>
    <row r="24" customFormat="false" ht="12.75" hidden="false" customHeight="false" outlineLevel="0" collapsed="false">
      <c r="I24" s="0" t="s">
        <v>223</v>
      </c>
      <c r="J24" s="43" t="n">
        <v>90000</v>
      </c>
      <c r="K24" s="43" t="n">
        <v>1</v>
      </c>
      <c r="L24" s="43" t="n">
        <f aca="false">J24*K24</f>
        <v>90000</v>
      </c>
    </row>
    <row r="25" customFormat="false" ht="12.75" hidden="false" customHeight="false" outlineLevel="0" collapsed="false">
      <c r="B25" s="67" t="s">
        <v>9</v>
      </c>
      <c r="C25" s="58"/>
      <c r="E25" s="71" t="n">
        <v>28</v>
      </c>
      <c r="F25" s="71" t="n">
        <f aca="false">+K29</f>
        <v>5</v>
      </c>
      <c r="I25" s="0" t="s">
        <v>224</v>
      </c>
      <c r="J25" s="43" t="n">
        <v>120000</v>
      </c>
      <c r="K25" s="43" t="n">
        <v>1</v>
      </c>
      <c r="L25" s="43" t="n">
        <f aca="false">J25*K25</f>
        <v>120000</v>
      </c>
      <c r="O25" s="71" t="n">
        <f aca="false">SUM(U16:U20,U23:U27)</f>
        <v>0</v>
      </c>
    </row>
    <row r="26" customFormat="false" ht="12.75" hidden="false" customHeight="false" outlineLevel="0" collapsed="false">
      <c r="C26" s="58"/>
      <c r="E26" s="58"/>
      <c r="F26" s="58"/>
      <c r="I26" s="0" t="s">
        <v>249</v>
      </c>
      <c r="J26" s="43" t="n">
        <v>178800</v>
      </c>
      <c r="K26" s="43" t="n">
        <v>0</v>
      </c>
      <c r="L26" s="43" t="n">
        <f aca="false">J26*K26</f>
        <v>0</v>
      </c>
      <c r="O26" s="58"/>
    </row>
    <row r="27" customFormat="false" ht="12.75" hidden="false" customHeight="false" outlineLevel="0" collapsed="false">
      <c r="B27" s="67" t="s">
        <v>237</v>
      </c>
      <c r="C27" s="58"/>
      <c r="E27" s="71" t="n">
        <v>0</v>
      </c>
      <c r="F27" s="71" t="n">
        <v>0</v>
      </c>
      <c r="I27" s="0" t="s">
        <v>226</v>
      </c>
      <c r="J27" s="43" t="n">
        <v>216000</v>
      </c>
      <c r="K27" s="43" t="n">
        <v>0</v>
      </c>
      <c r="L27" s="43" t="n">
        <f aca="false">J27*K27</f>
        <v>0</v>
      </c>
      <c r="O27" s="71" t="n">
        <f aca="false">SUM(U21:U22)</f>
        <v>0</v>
      </c>
    </row>
    <row r="28" customFormat="false" ht="12.75" hidden="false" customHeight="false" outlineLevel="0" collapsed="false">
      <c r="I28" s="0" t="s">
        <v>227</v>
      </c>
      <c r="J28" s="43" t="n">
        <v>312000</v>
      </c>
      <c r="K28" s="43" t="n">
        <f aca="false">H27*J28</f>
        <v>0</v>
      </c>
      <c r="L28" s="43" t="n">
        <f aca="false">J28*K28</f>
        <v>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28</v>
      </c>
      <c r="F29" s="71" t="n">
        <f aca="false">+F27+F25</f>
        <v>5</v>
      </c>
      <c r="G29" s="43"/>
      <c r="J29" s="43"/>
      <c r="K29" s="43" t="n">
        <f aca="false">SUM(K17:K28)</f>
        <v>5</v>
      </c>
      <c r="L29" s="43" t="n">
        <f aca="false">SUM(L17:L28)</f>
        <v>406800</v>
      </c>
      <c r="O29" s="71" t="n">
        <v>1</v>
      </c>
    </row>
    <row r="30" customFormat="false" ht="12.75" hidden="false" customHeight="false" outlineLevel="0" collapsed="false">
      <c r="J30" s="43"/>
      <c r="K30" s="43"/>
      <c r="L30" s="43"/>
    </row>
    <row r="31" customFormat="false" ht="12.75" hidden="true" customHeight="false" outlineLevel="0" collapsed="false">
      <c r="A31" s="56" t="s">
        <v>186</v>
      </c>
      <c r="B31" s="57" t="s">
        <v>200</v>
      </c>
      <c r="C31" s="58" t="n">
        <f aca="false">'[23]Team Report'!BA29</f>
        <v>0</v>
      </c>
      <c r="E31" s="58" t="n">
        <f aca="false">(C31/9)*12</f>
        <v>0</v>
      </c>
      <c r="I31" s="0" t="s">
        <v>228</v>
      </c>
      <c r="J31" s="43"/>
      <c r="K31" s="72"/>
      <c r="L31" s="72" t="n">
        <v>0.2</v>
      </c>
    </row>
    <row r="32" customFormat="false" ht="12.75" hidden="true" customHeight="false" outlineLevel="0" collapsed="false">
      <c r="A32" s="56" t="s">
        <v>188</v>
      </c>
      <c r="B32" s="57" t="s">
        <v>201</v>
      </c>
      <c r="C32" s="58" t="n">
        <f aca="false">'[23]Team Report'!BA30</f>
        <v>0</v>
      </c>
      <c r="E32" s="58" t="n">
        <f aca="false">(C32/9)*12</f>
        <v>0</v>
      </c>
      <c r="J32" s="43"/>
      <c r="K32" s="43"/>
      <c r="L32" s="43"/>
    </row>
    <row r="33" customFormat="false" ht="12.75" hidden="true" customHeight="false" outlineLevel="0" collapsed="false">
      <c r="A33" s="56" t="s">
        <v>189</v>
      </c>
      <c r="B33" s="57" t="s">
        <v>202</v>
      </c>
      <c r="C33" s="58" t="n">
        <f aca="false">'[23]Team Report'!BA31</f>
        <v>0</v>
      </c>
      <c r="E33" s="58" t="n">
        <f aca="false">(C33/9)*12</f>
        <v>0</v>
      </c>
      <c r="J33" s="43"/>
      <c r="K33" s="43"/>
      <c r="L33" s="43" t="n">
        <f aca="false">L29*1.2</f>
        <v>488160</v>
      </c>
    </row>
    <row r="34" customFormat="false" ht="12.75" hidden="true" customHeight="false" outlineLevel="0" collapsed="false">
      <c r="A34" s="56" t="s">
        <v>190</v>
      </c>
      <c r="B34" s="57" t="s">
        <v>203</v>
      </c>
      <c r="C34" s="58" t="n">
        <f aca="false">'[23]Team Report'!BA39</f>
        <v>0</v>
      </c>
      <c r="E34" s="58" t="n">
        <f aca="false">(C34/9)*12</f>
        <v>0</v>
      </c>
      <c r="J34" s="43"/>
      <c r="K34" s="43"/>
      <c r="L34" s="43"/>
    </row>
    <row r="35" customFormat="false" ht="12.75" hidden="true" customHeight="false" outlineLevel="0" collapsed="false">
      <c r="A35" s="56" t="s">
        <v>191</v>
      </c>
      <c r="B35" s="57" t="s">
        <v>204</v>
      </c>
      <c r="C35" s="58" t="n">
        <f aca="false">'[23]Team Report'!BA40</f>
        <v>155543.13</v>
      </c>
      <c r="E35" s="58" t="n">
        <f aca="false">(C35/9)*12</f>
        <v>207390.84</v>
      </c>
    </row>
    <row r="36" customFormat="false" ht="12.75" hidden="true" customHeight="false" outlineLevel="0" collapsed="false">
      <c r="A36" s="56" t="s">
        <v>192</v>
      </c>
      <c r="B36" s="57" t="s">
        <v>205</v>
      </c>
      <c r="C36" s="58" t="n">
        <f aca="false">'[23]Team Report'!BA41</f>
        <v>132051.71</v>
      </c>
      <c r="E36" s="58" t="n">
        <f aca="false">(C36/9)*12</f>
        <v>176068.946666667</v>
      </c>
    </row>
    <row r="37" customFormat="false" ht="12.75" hidden="true" customHeight="false" outlineLevel="0" collapsed="false">
      <c r="A37" s="56" t="s">
        <v>193</v>
      </c>
      <c r="B37" s="57" t="s">
        <v>206</v>
      </c>
      <c r="C37" s="58" t="n">
        <f aca="false">'[23]Team Report'!BA43</f>
        <v>-1900070.79</v>
      </c>
      <c r="E37" s="58" t="n">
        <f aca="false">(C37/9)*12</f>
        <v>-2533427.72</v>
      </c>
      <c r="G37" s="16" t="s">
        <v>140</v>
      </c>
      <c r="I37" s="43"/>
      <c r="J37" s="43"/>
      <c r="K37" s="43"/>
    </row>
    <row r="38" customFormat="false" ht="12.75" hidden="true" customHeight="false" outlineLevel="0" collapsed="false">
      <c r="A38" s="56" t="s">
        <v>194</v>
      </c>
      <c r="B38" s="57" t="s">
        <v>207</v>
      </c>
      <c r="C38" s="58" t="n">
        <f aca="false">'[23]Team Report'!BA45</f>
        <v>0</v>
      </c>
      <c r="E38" s="58" t="n">
        <f aca="false">(C38/9)*12</f>
        <v>0</v>
      </c>
      <c r="I38" s="43"/>
      <c r="J38" s="43"/>
      <c r="K38" s="43"/>
    </row>
    <row r="39" customFormat="false" ht="12.75" hidden="true" customHeight="false" outlineLevel="0" collapsed="false">
      <c r="B39" s="57" t="s">
        <v>107</v>
      </c>
      <c r="C39" s="58" t="n">
        <v>1140923</v>
      </c>
      <c r="E39" s="58"/>
      <c r="G39" s="73" t="s">
        <v>141</v>
      </c>
      <c r="I39" s="74" t="s">
        <v>142</v>
      </c>
      <c r="J39" s="74" t="s">
        <v>143</v>
      </c>
      <c r="K39" s="74" t="s">
        <v>86</v>
      </c>
      <c r="L39" s="74" t="s">
        <v>144</v>
      </c>
    </row>
    <row r="40" customFormat="false" ht="12.75" hidden="true" customHeight="false" outlineLevel="0" collapsed="false">
      <c r="B40" s="57"/>
      <c r="G40" s="75" t="n">
        <f aca="false">SUM(E12:E22)</f>
        <v>816459.588</v>
      </c>
      <c r="I40" s="103" t="n">
        <f aca="false">+E29</f>
        <v>28</v>
      </c>
      <c r="J40" s="74" t="n">
        <f aca="false">+G40/I40</f>
        <v>29159.271</v>
      </c>
      <c r="K40" s="103" t="n">
        <f aca="false">+K12</f>
        <v>5</v>
      </c>
      <c r="L40" s="74" t="n">
        <f aca="false">+J40*K40</f>
        <v>145796.355</v>
      </c>
    </row>
    <row r="41" customFormat="false" ht="12.75" hidden="true" customHeight="false" outlineLevel="0" collapsed="false">
      <c r="C41" s="96" t="n">
        <f aca="false">C23+C31+C32+C33+C34+C35+C36+C37+C38</f>
        <v>143407.289999999</v>
      </c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2.7"/>
    <col collapsed="false" customWidth="false" hidden="true" outlineLevel="0" max="52" min="18" style="0" width="9.06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280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Q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Q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f aca="false">L28-H10</f>
        <v>591580</v>
      </c>
      <c r="I8" s="52" t="s">
        <v>96</v>
      </c>
      <c r="J8" s="43" t="n">
        <v>0</v>
      </c>
      <c r="L8" s="53" t="n">
        <f aca="false">L30</f>
        <v>1645776</v>
      </c>
      <c r="Q8" s="58" t="n">
        <f aca="false">+H8/$H$29*$Q$29</f>
        <v>42255.7142857143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8" t="n">
        <v>0</v>
      </c>
      <c r="G9" s="59" t="n">
        <f aca="false">E9/$E$23</f>
        <v>0</v>
      </c>
      <c r="H9" s="58" t="n">
        <v>0</v>
      </c>
      <c r="I9" s="52"/>
      <c r="L9" s="53"/>
      <c r="Q9" s="58" t="n">
        <f aca="false">+H9/$H$29*$Q$29</f>
        <v>0</v>
      </c>
    </row>
    <row r="10" customFormat="false" ht="12.75" hidden="false" customHeight="false" outlineLevel="0" collapsed="false">
      <c r="A10" s="56"/>
      <c r="B10" s="57" t="s">
        <v>98</v>
      </c>
      <c r="C10" s="58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8"/>
      <c r="E10" s="58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9" t="n">
        <f aca="false">E10/$E$23</f>
        <v>0.00377976191391553</v>
      </c>
      <c r="H10" s="58" t="n">
        <f aca="false">L21+L22</f>
        <v>779900</v>
      </c>
      <c r="I10" s="52"/>
      <c r="L10" s="53"/>
      <c r="Q10" s="58" t="n">
        <f aca="false">+H10/$H$29*$Q$29</f>
        <v>55707.1428571429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L30-L28</f>
        <v>274296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14</v>
      </c>
      <c r="L11" s="53" t="n">
        <f aca="false">J11*K11</f>
        <v>675782.5375</v>
      </c>
      <c r="Q11" s="58" t="n">
        <f aca="false">+H11/$H$29*$Q$29</f>
        <v>19592.5714285714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f aca="false">(E12/$E$29)*$K$11</f>
        <v>86274.6325</v>
      </c>
      <c r="I12" s="52"/>
      <c r="L12" s="53"/>
      <c r="Q12" s="58" t="n">
        <f aca="false">+H12/$H$29*$Q$29</f>
        <v>6162.47375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f aca="false">(E13/$E$29)*$K$11-66789</f>
        <v>10000.3968333333</v>
      </c>
      <c r="I13" s="63" t="s">
        <v>105</v>
      </c>
      <c r="J13" s="64"/>
      <c r="K13" s="64"/>
      <c r="L13" s="65" t="n">
        <f aca="false">L8+L11</f>
        <v>2321558.5375</v>
      </c>
      <c r="N13" s="43" t="n">
        <v>24109311.029375</v>
      </c>
      <c r="P13" s="60" t="n">
        <f aca="false">N13-L13</f>
        <v>21787752.491875</v>
      </c>
      <c r="Q13" s="58" t="n">
        <f aca="false">+H13/$H$29*$Q$29</f>
        <v>714.31405952381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f aca="false">(E14/$E$29)*$K$11+180000+250000+6600+9000+30000</f>
        <v>475600.028</v>
      </c>
      <c r="Q14" s="58" t="n">
        <f aca="false">+H14/$H$29*$Q$29</f>
        <v>33971.4305714286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f aca="false">(E15/$E$29)*$K$11</f>
        <v>12199.0166666667</v>
      </c>
      <c r="Q15" s="58" t="n">
        <f aca="false">+H15/$H$29*$Q$29</f>
        <v>871.358333333333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f aca="false">(E16/$E$29)*$K$11</f>
        <v>0</v>
      </c>
      <c r="I16" s="43" t="s">
        <v>112</v>
      </c>
      <c r="J16" s="43" t="n">
        <v>33000</v>
      </c>
      <c r="K16" s="43" t="n">
        <v>0</v>
      </c>
      <c r="L16" s="43" t="n">
        <f aca="false">J16*K16</f>
        <v>0</v>
      </c>
      <c r="Q16" s="58" t="n">
        <f aca="false">+H16/$H$29*$Q$29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f aca="false">(E17/$E$29)*$K$11</f>
        <v>688.333333333333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Q17" s="58" t="n">
        <f aca="false">+H17/$H$29*$Q$29</f>
        <v>49.1666666666667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f aca="false">(E18/$E$29)*$K$11</f>
        <v>12501.4073333333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Q18" s="58" t="n">
        <f aca="false">+H18/$H$29*$Q$29</f>
        <v>892.957666666667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f aca="false">(E19/$E$29)*$K$11</f>
        <v>12741.204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Q19" s="58" t="n">
        <f aca="false">+H19/$H$29*$Q$29</f>
        <v>910.086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f aca="false">(E20/$E$29)*$K$11</f>
        <v>1.86666666666667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Q20" s="58" t="n">
        <f aca="false">+H20/$H$29*$Q$29</f>
        <v>0.133333333333333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f aca="false">(E21/$E$29)*$K$11</f>
        <v>15842.0395</v>
      </c>
      <c r="I21" s="43" t="s">
        <v>127</v>
      </c>
      <c r="J21" s="43" t="n">
        <v>60500</v>
      </c>
      <c r="K21" s="43" t="n">
        <v>7</v>
      </c>
      <c r="L21" s="43" t="n">
        <f aca="false">J21*K21</f>
        <v>423500</v>
      </c>
      <c r="Q21" s="58" t="n">
        <f aca="false">+H21/$H$29*$Q$29</f>
        <v>1131.57425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f aca="false">(E22/$E$29)*$K$11-327675</f>
        <v>131069.612666667</v>
      </c>
      <c r="I22" s="43" t="s">
        <v>130</v>
      </c>
      <c r="J22" s="43" t="n">
        <v>89100</v>
      </c>
      <c r="K22" s="43" t="n">
        <v>4</v>
      </c>
      <c r="L22" s="43" t="n">
        <f aca="false">J22*K22</f>
        <v>356400</v>
      </c>
      <c r="Q22" s="58" t="n">
        <f aca="false">+H22/$H$29*$Q$29</f>
        <v>9362.11519047621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2402694.5375</v>
      </c>
      <c r="I23" s="43" t="s">
        <v>133</v>
      </c>
      <c r="J23" s="43" t="n">
        <v>110000</v>
      </c>
      <c r="K23" s="43" t="n">
        <v>2</v>
      </c>
      <c r="L23" s="43" t="n">
        <f aca="false">J23*K23</f>
        <v>220000</v>
      </c>
      <c r="Q23" s="68" t="n">
        <f aca="false">SUM(Q8:Q22)</f>
        <v>171621.038392857</v>
      </c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1</v>
      </c>
      <c r="L24" s="43" t="n">
        <f aca="false">J24*K24</f>
        <v>143000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1" t="n">
        <f aca="false">+K16+K17+K18+K19+K20+K23+K24+K25+K26+K27</f>
        <v>3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Q25" s="71" t="n">
        <v>1</v>
      </c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0</v>
      </c>
      <c r="L26" s="43" t="n">
        <f aca="false">J26*K26</f>
        <v>0</v>
      </c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1" t="n">
        <f aca="false">+K21+K22</f>
        <v>11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Q27" s="71" t="n">
        <f aca="false">+T21+T22</f>
        <v>0</v>
      </c>
    </row>
    <row r="28" customFormat="false" ht="12.75" hidden="false" customHeight="false" outlineLevel="0" collapsed="false">
      <c r="K28" s="43" t="n">
        <f aca="false">SUM(K16:K27)</f>
        <v>14</v>
      </c>
      <c r="L28" s="43" t="n">
        <f aca="false">SUM(L16:L27)*1.2</f>
        <v>1371480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14</v>
      </c>
      <c r="L29" s="72" t="n">
        <v>0.2</v>
      </c>
      <c r="Q29" s="71" t="n">
        <f aca="false">SUM(Q25:Q27)</f>
        <v>1</v>
      </c>
    </row>
    <row r="30" customFormat="false" ht="12.75" hidden="true" customHeight="false" outlineLevel="0" collapsed="false">
      <c r="L30" s="43" t="n">
        <f aca="false">L28*1.2</f>
        <v>1645776</v>
      </c>
    </row>
    <row r="31" customFormat="false" ht="12.75" hidden="true" customHeight="false" outlineLevel="0" collapsed="false">
      <c r="H31" s="16" t="s">
        <v>140</v>
      </c>
      <c r="L31" s="0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14</v>
      </c>
      <c r="L34" s="74" t="n">
        <f aca="false">+J34*K34</f>
        <v>675782.5375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false" hidden="true" outlineLevel="0" max="42" min="15" style="0" width="9.06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customFormat="false" ht="18" hidden="false" customHeight="false" outlineLevel="0" collapsed="false">
      <c r="B2" s="44" t="s">
        <v>281</v>
      </c>
      <c r="C2" s="44"/>
      <c r="D2" s="44"/>
      <c r="E2" s="44"/>
      <c r="F2" s="44"/>
      <c r="G2" s="44"/>
      <c r="H2" s="44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customFormat="false" ht="12.75" hidden="false" customHeight="false" outlineLevel="0" collapsed="false">
      <c r="J4" s="79"/>
      <c r="K4" s="80"/>
      <c r="L4" s="80"/>
      <c r="M4" s="81"/>
    </row>
    <row r="5" customFormat="false" ht="12.75" hidden="false" customHeight="false" outlineLevel="0" collapsed="false">
      <c r="J5" s="82"/>
      <c r="K5" s="21" t="s">
        <v>85</v>
      </c>
      <c r="L5" s="21" t="s">
        <v>86</v>
      </c>
      <c r="M5" s="8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F6" s="54" t="s">
        <v>90</v>
      </c>
      <c r="H6" s="84" t="s">
        <v>89</v>
      </c>
      <c r="J6" s="82"/>
      <c r="K6" s="21"/>
      <c r="L6" s="21"/>
      <c r="M6" s="83"/>
      <c r="N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 t="s">
        <v>94</v>
      </c>
      <c r="H7" s="84" t="s">
        <v>93</v>
      </c>
      <c r="J7" s="82"/>
      <c r="K7" s="21"/>
      <c r="L7" s="21"/>
      <c r="M7" s="83"/>
      <c r="N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58" t="n">
        <f aca="false">(C8/9)*12</f>
        <v>8854366.4</v>
      </c>
      <c r="F8" s="58" t="n">
        <f aca="false">M16+M17+M18+M19+M20+M23+M24+M26</f>
        <v>318000</v>
      </c>
      <c r="H8" s="85" t="n">
        <f aca="false">E8/$E$23</f>
        <v>0.43476545989392</v>
      </c>
      <c r="J8" s="82" t="s">
        <v>96</v>
      </c>
      <c r="K8" s="43" t="n">
        <v>0</v>
      </c>
      <c r="L8" s="21"/>
      <c r="M8" s="86" t="n">
        <f aca="false">M28*1.2</f>
        <v>810720</v>
      </c>
      <c r="N8" s="58" t="n">
        <f aca="false">+F8/$F$29*$N$29</f>
        <v>45428.5714285714</v>
      </c>
    </row>
    <row r="9" customFormat="false" ht="12.75" hidden="false" customHeight="false" outlineLevel="0" collapsed="false">
      <c r="A9" s="56"/>
      <c r="B9" s="57" t="s">
        <v>97</v>
      </c>
      <c r="C9" s="58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58" t="n">
        <f aca="false">C9</f>
        <v>1460000</v>
      </c>
      <c r="F9" s="58"/>
      <c r="H9" s="85" t="n">
        <f aca="false">E9/$E$23</f>
        <v>0.0716886497316311</v>
      </c>
      <c r="J9" s="82"/>
      <c r="K9" s="21"/>
      <c r="L9" s="21"/>
      <c r="M9" s="83"/>
      <c r="N9" s="58" t="n">
        <f aca="false">+F9/$F$29*$N$29</f>
        <v>0</v>
      </c>
    </row>
    <row r="10" customFormat="false" ht="12.75" hidden="false" customHeight="false" outlineLevel="0" collapsed="false">
      <c r="A10" s="56"/>
      <c r="B10" s="57" t="s">
        <v>176</v>
      </c>
      <c r="C10" s="58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58" t="n">
        <f aca="false">(C10/9)*12</f>
        <v>3536680</v>
      </c>
      <c r="F10" s="58" t="n">
        <f aca="false">M21+M22</f>
        <v>357600</v>
      </c>
      <c r="H10" s="85" t="n">
        <f aca="false">E10/$E$23</f>
        <v>0.173657406666346</v>
      </c>
      <c r="J10" s="82"/>
      <c r="K10" s="21"/>
      <c r="L10" s="21"/>
      <c r="M10" s="83"/>
      <c r="N10" s="58" t="n">
        <f aca="false">+F10/$F$29*$N$29</f>
        <v>51085.7142857143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58" t="n">
        <f aca="false">(C11/9)*12</f>
        <v>2048457.94666667</v>
      </c>
      <c r="F11" s="58" t="n">
        <f aca="false">M28*0.2</f>
        <v>135120</v>
      </c>
      <c r="H11" s="85" t="n">
        <f aca="false">E11/$E$23</f>
        <v>0.100583002896276</v>
      </c>
      <c r="J11" s="82" t="s">
        <v>67</v>
      </c>
      <c r="K11" s="43" t="n">
        <f aca="false">(E12+E13+E14+E15+E16+E17+E18+E19+E20+E21+E22)/E29</f>
        <v>31676.1819007092</v>
      </c>
      <c r="L11" s="21" t="n">
        <f aca="false">L28</f>
        <v>7</v>
      </c>
      <c r="M11" s="86" t="n">
        <f aca="false">K11*L11</f>
        <v>221733.273304964</v>
      </c>
      <c r="N11" s="58" t="n">
        <f aca="false">+F11/$F$29*$N$29</f>
        <v>19302.8571428571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2" t="n">
        <f aca="false">(C12/9)*12*1.2</f>
        <v>890331.52</v>
      </c>
      <c r="F12" s="58" t="n">
        <f aca="false">E12/$E$29*$L$11</f>
        <v>44200.8556028369</v>
      </c>
      <c r="H12" s="85" t="n">
        <f aca="false">E12/$E$23</f>
        <v>0.0437168934810347</v>
      </c>
      <c r="J12" s="82"/>
      <c r="K12" s="21"/>
      <c r="L12" s="21"/>
      <c r="M12" s="83"/>
      <c r="N12" s="58" t="n">
        <f aca="false">+F12/$F$29*$N$29</f>
        <v>6314.40794326241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2" t="n">
        <f aca="false">(C13/9)*12*1.2</f>
        <v>1622984.656</v>
      </c>
      <c r="F13" s="58" t="n">
        <f aca="false">E13/$E$29*$L$11</f>
        <v>80573.7063262411</v>
      </c>
      <c r="H13" s="85" t="n">
        <f aca="false">E13/$E$23</f>
        <v>0.0796914921395861</v>
      </c>
      <c r="J13" s="87" t="s">
        <v>105</v>
      </c>
      <c r="K13" s="88"/>
      <c r="L13" s="88"/>
      <c r="M13" s="89" t="n">
        <f aca="false">M8+M11</f>
        <v>1032453.27330496</v>
      </c>
      <c r="N13" s="58" t="n">
        <f aca="false">+F13/$F$29*$N$29</f>
        <v>11510.5294751773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2" t="n">
        <f aca="false">(C14/9)*12*1.2</f>
        <v>0.608000000193715</v>
      </c>
      <c r="F14" s="58" t="n">
        <v>1000000</v>
      </c>
      <c r="H14" s="85" t="n">
        <f aca="false">E14/$E$23</f>
        <v>2.98539034593965E-008</v>
      </c>
      <c r="N14" s="58" t="n">
        <f aca="false">+F14/$F$29*$N$29</f>
        <v>142857.142857143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2" t="n">
        <f aca="false">(C15/9)*12*1.2</f>
        <v>149163.408</v>
      </c>
      <c r="F15" s="58" t="n">
        <f aca="false">E15/$E$29*$L$11</f>
        <v>7405.27557446808</v>
      </c>
      <c r="H15" s="85" t="n">
        <f aca="false">E15/$E$23</f>
        <v>0.00732419404718382</v>
      </c>
      <c r="K15" s="43"/>
      <c r="N15" s="58" t="n">
        <f aca="false">+F15/$F$29*$N$29</f>
        <v>1057.8965106383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2" t="n">
        <f aca="false">(C16/9)*12*1.2</f>
        <v>0</v>
      </c>
      <c r="F16" s="58" t="n">
        <f aca="false">E16/$E$29*$L$11</f>
        <v>0</v>
      </c>
      <c r="H16" s="85" t="n">
        <f aca="false">E16/$E$23</f>
        <v>0</v>
      </c>
      <c r="J16" s="0" t="s">
        <v>177</v>
      </c>
      <c r="K16" s="43" t="n">
        <v>33600</v>
      </c>
      <c r="L16" s="0" t="n">
        <f aca="false">'[5]Ercot Trading'!K16+'[5]Ercot Origination'!K16+'[5]Southeast Trading'!K16+'[5]Southeast Origination'!K16+'[5]Midwest Trading'!K16+'[5]Midwest Origination'!K16+'[5]Northeast Trading'!K16+'[5]Northeast Origination'!K16+'[5]Management Book'!K16+[5]Structuring_Fund!K16+[5]Services!K16+[5]Options!K16</f>
        <v>0</v>
      </c>
      <c r="M16" s="43" t="n">
        <f aca="false">K16*L16</f>
        <v>0</v>
      </c>
      <c r="N16" s="58" t="n">
        <f aca="false">+F16/$F$29*$N$29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2" t="n">
        <f aca="false">(C17/9)*12*1.2</f>
        <v>8480</v>
      </c>
      <c r="F17" s="58" t="n">
        <f aca="false">E17/$E$29*$L$11</f>
        <v>420.992907801418</v>
      </c>
      <c r="H17" s="85" t="n">
        <f aca="false">E17/$E$23</f>
        <v>0.000416383390222076</v>
      </c>
      <c r="J17" s="0" t="s">
        <v>115</v>
      </c>
      <c r="K17" s="43" t="n">
        <v>52800</v>
      </c>
      <c r="L17" s="0" t="n">
        <f aca="false">'[5]Ercot Trading'!K17+'[5]Ercot Origination'!K17+'[5]Southeast Trading'!K17+'[5]Southeast Origination'!K17+'[5]Midwest Trading'!K17+'[5]Midwest Origination'!K17+'[5]Northeast Trading'!K17+'[5]Northeast Origination'!K17+'[5]Management Book'!K17+[5]Structuring_Fund!K17+[5]Services!K17+[5]Options!K17</f>
        <v>0</v>
      </c>
      <c r="M17" s="43" t="n">
        <f aca="false">K17*L17</f>
        <v>0</v>
      </c>
      <c r="N17" s="58" t="n">
        <f aca="false">+F17/$F$29*$N$29</f>
        <v>60.1418439716312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2" t="n">
        <f aca="false">(C18/9)*12*1.2</f>
        <v>459.663999999995</v>
      </c>
      <c r="F18" s="58" t="n">
        <f aca="false">E18/$E$29*$L$11</f>
        <v>22.82019858156</v>
      </c>
      <c r="H18" s="85" t="n">
        <f aca="false">E18/$E$23</f>
        <v>2.25703366371507E-005</v>
      </c>
      <c r="J18" s="0" t="s">
        <v>118</v>
      </c>
      <c r="K18" s="43" t="n">
        <v>54000</v>
      </c>
      <c r="L18" s="0" t="n">
        <f aca="false">'[5]Ercot Trading'!K18+'[5]Ercot Origination'!K18+'[5]Southeast Trading'!K18+'[5]Southeast Origination'!K18+'[5]Midwest Trading'!K18+'[5]Midwest Origination'!K18+'[5]Northeast Trading'!K18+'[5]Northeast Origination'!K18+'[5]Management Book'!K18+[5]Structuring_Fund!K18+[5]Services!K18+[5]Options!K18</f>
        <v>0</v>
      </c>
      <c r="M18" s="43" t="n">
        <f aca="false">K18*L18</f>
        <v>0</v>
      </c>
      <c r="N18" s="58" t="n">
        <f aca="false">+F18/$F$29*$N$29</f>
        <v>3.26002836879429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2" t="n">
        <f aca="false">(C19/9)*12*1.2</f>
        <v>779438.72</v>
      </c>
      <c r="F19" s="58" t="n">
        <f aca="false">E19/$E$29*$L$11</f>
        <v>38695.5392907801</v>
      </c>
      <c r="H19" s="85" t="n">
        <f aca="false">E19/$E$23</f>
        <v>0.038271855743391</v>
      </c>
      <c r="J19" s="0" t="s">
        <v>121</v>
      </c>
      <c r="K19" s="43" t="n">
        <v>63000</v>
      </c>
      <c r="L19" s="0" t="n">
        <f aca="false">'[5]Ercot Trading'!K19+'[5]Ercot Origination'!K19+'[5]Southeast Trading'!K19+'[5]Southeast Origination'!K19+'[5]Midwest Trading'!K19+'[5]Midwest Origination'!K19+'[5]Northeast Trading'!K19+'[5]Northeast Origination'!K19+'[5]Management Book'!K19+[5]Structuring_Fund!K19+[5]Services!K19+[5]Options!K19</f>
        <v>0</v>
      </c>
      <c r="M19" s="43" t="n">
        <f aca="false">K19*L19</f>
        <v>0</v>
      </c>
      <c r="N19" s="58" t="n">
        <f aca="false">+F19/$F$29*$N$29</f>
        <v>5527.93418439716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2" t="n">
        <f aca="false">(C20/9)*12*1.2</f>
        <v>125.088</v>
      </c>
      <c r="F20" s="58" t="n">
        <f aca="false">E20/$E$29*$L$11</f>
        <v>6.21004255319149</v>
      </c>
      <c r="H20" s="85" t="n">
        <f aca="false">E20/$E$23</f>
        <v>6.1420478202947E-006</v>
      </c>
      <c r="J20" s="0" t="s">
        <v>124</v>
      </c>
      <c r="K20" s="43" t="n">
        <v>78000</v>
      </c>
      <c r="L20" s="0" t="n">
        <v>1</v>
      </c>
      <c r="M20" s="43" t="n">
        <f aca="false">K20*L20</f>
        <v>78000</v>
      </c>
      <c r="N20" s="58" t="n">
        <f aca="false">+F20/$F$29*$N$29</f>
        <v>0.887148936170213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2" t="n">
        <f aca="false">(C21/9)*12*1.2</f>
        <v>1013453.6</v>
      </c>
      <c r="F21" s="58" t="n">
        <f aca="false">E21/$E$29*$L$11</f>
        <v>50313.2992907801</v>
      </c>
      <c r="H21" s="85" t="n">
        <f aca="false">E21/$E$23</f>
        <v>0.0497624110614113</v>
      </c>
      <c r="J21" s="0" t="s">
        <v>127</v>
      </c>
      <c r="K21" s="43" t="n">
        <v>66000</v>
      </c>
      <c r="L21" s="0" t="n">
        <v>1</v>
      </c>
      <c r="M21" s="43" t="n">
        <f aca="false">K21*L21</f>
        <v>66000</v>
      </c>
      <c r="N21" s="58" t="n">
        <f aca="false">+F21/$F$29*$N$29</f>
        <v>7187.61418439716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2" t="n">
        <f aca="false">(C22/9)*12*1.2</f>
        <v>1904.384</v>
      </c>
      <c r="F22" s="58" t="n">
        <f aca="false">E22/$E$29*$L$11</f>
        <v>94.5438865248227</v>
      </c>
      <c r="H22" s="85" t="n">
        <f aca="false">E22/$E$23</f>
        <v>9.35087106373442E-005</v>
      </c>
      <c r="J22" s="0" t="s">
        <v>130</v>
      </c>
      <c r="K22" s="43" t="n">
        <v>97200</v>
      </c>
      <c r="L22" s="0" t="n">
        <v>3</v>
      </c>
      <c r="M22" s="43" t="n">
        <f aca="false">K22*L22</f>
        <v>291600</v>
      </c>
      <c r="N22" s="58" t="n">
        <f aca="false">+F22/$F$29*$N$29</f>
        <v>13.5062695035461</v>
      </c>
    </row>
    <row r="23" customFormat="false" ht="13.5" hidden="false" customHeight="false" outlineLevel="0" collapsed="false">
      <c r="A23" s="66" t="s">
        <v>131</v>
      </c>
      <c r="B23" s="67" t="s">
        <v>132</v>
      </c>
      <c r="C23" s="68" t="n">
        <f aca="false">SUM(C8:C22)</f>
        <v>15081091.79</v>
      </c>
      <c r="E23" s="68" t="n">
        <f aca="false">SUM(E8:E22)</f>
        <v>20365845.9946667</v>
      </c>
      <c r="F23" s="90" t="n">
        <f aca="false">SUM(F8:F22)</f>
        <v>2032453.24312057</v>
      </c>
      <c r="H23" s="91" t="n">
        <f aca="false">SUM(H8:H22)</f>
        <v>1</v>
      </c>
      <c r="J23" s="0" t="s">
        <v>133</v>
      </c>
      <c r="K23" s="43" t="n">
        <v>120000</v>
      </c>
      <c r="L23" s="0" t="n">
        <f aca="false">3-1</f>
        <v>2</v>
      </c>
      <c r="M23" s="43" t="n">
        <f aca="false">K23*L23</f>
        <v>240000</v>
      </c>
      <c r="N23" s="90" t="n">
        <f aca="false">SUM(N8:N22)</f>
        <v>290350.463302938</v>
      </c>
    </row>
    <row r="24" customFormat="false" ht="12.75" hidden="false" customHeight="false" outlineLevel="0" collapsed="false">
      <c r="J24" s="0" t="s">
        <v>134</v>
      </c>
      <c r="K24" s="43" t="n">
        <v>156000</v>
      </c>
      <c r="L24" s="0" t="n">
        <f aca="false">1-1</f>
        <v>0</v>
      </c>
      <c r="M24" s="43" t="n">
        <f aca="false">K24*L24</f>
        <v>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1" t="n">
        <f aca="false">SUM(L16:L20,L23:L27)</f>
        <v>3</v>
      </c>
      <c r="J25" s="0" t="s">
        <v>135</v>
      </c>
      <c r="K25" s="43" t="n">
        <v>180000</v>
      </c>
      <c r="L25" s="0" t="n">
        <f aca="false">'[5]Ercot Trading'!K25+'[5]Ercot Origination'!K25+'[5]Southeast Trading'!K25+'[5]Southeast Origination'!K25+'[5]Midwest Trading'!K25+'[5]Midwest Origination'!K25+'[5]Northeast Trading'!K25+'[5]Northeast Origination'!K25+'[5]Management Book'!K25+[5]Structuring_Fund!K25+[5]Services!K25+[5]Options!K25</f>
        <v>0</v>
      </c>
      <c r="M25" s="43" t="n">
        <f aca="false">K25*L25</f>
        <v>0</v>
      </c>
      <c r="N25" s="71" t="n">
        <v>1</v>
      </c>
    </row>
    <row r="26" customFormat="false" ht="12.75" hidden="false" customHeight="false" outlineLevel="0" collapsed="false">
      <c r="C26" s="58"/>
      <c r="E26" s="58"/>
      <c r="F26" s="58"/>
      <c r="J26" s="0" t="s">
        <v>136</v>
      </c>
      <c r="K26" s="43" t="n">
        <v>216000</v>
      </c>
      <c r="L26" s="0" t="n">
        <f aca="false">'[5]Ercot Trading'!K26+'[5]Ercot Origination'!K26+'[5]Southeast Trading'!K26+'[5]Southeast Origination'!K26+'[5]Midwest Trading'!K26+'[5]Midwest Origination'!K26+'[5]Northeast Trading'!K26+'[5]Northeast Origination'!K26+'[5]Management Book'!K26+[5]Structuring_Fund!K26+[5]Services!K26+[5]Options!K26</f>
        <v>0</v>
      </c>
      <c r="M26" s="43" t="n">
        <f aca="false">K26*L26</f>
        <v>0</v>
      </c>
      <c r="N26" s="58"/>
    </row>
    <row r="27" customFormat="false" ht="12.75" hidden="false" customHeight="false" outlineLevel="0" collapsed="false">
      <c r="B27" s="67" t="s">
        <v>178</v>
      </c>
      <c r="C27" s="58"/>
      <c r="E27" s="71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1" t="n">
        <f aca="false">SUM(L21:L22)</f>
        <v>4</v>
      </c>
      <c r="J27" s="0" t="s">
        <v>138</v>
      </c>
      <c r="K27" s="43" t="n">
        <v>240000</v>
      </c>
      <c r="L27" s="0" t="n">
        <f aca="false">'[5]Ercot Trading'!K27+'[5]Ercot Origination'!K27+'[5]Southeast Trading'!K27+'[5]Southeast Origination'!K27+'[5]Midwest Trading'!K27+'[5]Midwest Origination'!K27+'[5]Northeast Trading'!K27+'[5]Northeast Origination'!K27+'[5]Management Book'!K27+[5]Structuring_Fund!K27+[5]Services!K27+[5]Options!K27</f>
        <v>0</v>
      </c>
      <c r="M27" s="43" t="n">
        <f aca="false">K27*L27</f>
        <v>0</v>
      </c>
      <c r="N27" s="71" t="n">
        <f aca="false">SUM(T21:T22)</f>
        <v>0</v>
      </c>
    </row>
    <row r="28" customFormat="false" ht="12.75" hidden="false" customHeight="false" outlineLevel="0" collapsed="false">
      <c r="B28" s="67"/>
      <c r="L28" s="0" t="n">
        <f aca="false">SUM(L16:L27)</f>
        <v>7</v>
      </c>
      <c r="M28" s="43" t="n">
        <f aca="false">SUM(M16:M27)</f>
        <v>675600</v>
      </c>
    </row>
    <row r="29" customFormat="false" ht="12.75" hidden="false" customHeight="false" outlineLevel="0" collapsed="false">
      <c r="B29" s="67" t="s">
        <v>139</v>
      </c>
      <c r="E29" s="92" t="n">
        <f aca="false">SUM(E25:E27)</f>
        <v>141</v>
      </c>
      <c r="F29" s="92" t="n">
        <f aca="false">SUM(F25:F27)</f>
        <v>7</v>
      </c>
      <c r="H29" s="43"/>
      <c r="N29" s="92" t="n">
        <f aca="false">SUM(N25:N27)</f>
        <v>1</v>
      </c>
    </row>
    <row r="31" customFormat="false" ht="12.75" hidden="false" customHeight="false" outlineLevel="0" collapsed="false">
      <c r="I31" s="16" t="s">
        <v>140</v>
      </c>
      <c r="J31" s="43"/>
      <c r="K31" s="43"/>
      <c r="L31" s="43"/>
    </row>
    <row r="32" customFormat="false" ht="12.75" hidden="true" customHeight="false" outlineLevel="0" collapsed="false">
      <c r="B32" s="57" t="s">
        <v>107</v>
      </c>
      <c r="C32" s="58" t="n">
        <v>524067</v>
      </c>
      <c r="J32" s="43"/>
      <c r="K32" s="43"/>
      <c r="L32" s="43"/>
    </row>
    <row r="33" customFormat="false" ht="12.75" hidden="false" customHeight="false" outlineLevel="0" collapsed="false">
      <c r="I33" s="73" t="s">
        <v>141</v>
      </c>
      <c r="J33" s="74" t="s">
        <v>142</v>
      </c>
      <c r="K33" s="74" t="s">
        <v>143</v>
      </c>
      <c r="L33" s="74" t="s">
        <v>86</v>
      </c>
      <c r="M33" s="74" t="s">
        <v>144</v>
      </c>
    </row>
    <row r="34" customFormat="false" ht="12.75" hidden="false" customHeight="false" outlineLevel="0" collapsed="false">
      <c r="I34" s="75" t="n">
        <f aca="false">SUM(E12:E22)</f>
        <v>4466341.648</v>
      </c>
      <c r="J34" s="74" t="n">
        <f aca="false">+E29</f>
        <v>141</v>
      </c>
      <c r="K34" s="74" t="n">
        <f aca="false">+I34/J34</f>
        <v>31676.1819007092</v>
      </c>
      <c r="L34" s="74" t="n">
        <f aca="false">+L11</f>
        <v>7</v>
      </c>
      <c r="M34" s="74" t="n">
        <f aca="false">+K34*L34</f>
        <v>221733.273304965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55" min="16" style="0" width="9.06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4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</row>
    <row r="2" customFormat="false" ht="18" hidden="false" customHeight="false" outlineLevel="0" collapsed="false">
      <c r="B2" s="44" t="s">
        <v>282</v>
      </c>
      <c r="C2" s="44"/>
      <c r="D2" s="44"/>
      <c r="E2" s="44"/>
      <c r="F2" s="44"/>
      <c r="G2" s="44"/>
      <c r="H2" s="44"/>
      <c r="I2" s="44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</row>
    <row r="3" customFormat="false" ht="18.75" hidden="false" customHeight="false" outlineLevel="0" collapsed="false">
      <c r="B3" s="93" t="s">
        <v>5</v>
      </c>
      <c r="C3" s="93"/>
      <c r="D3" s="93"/>
      <c r="E3" s="93"/>
      <c r="F3" s="93"/>
      <c r="G3" s="93"/>
      <c r="H3" s="93"/>
      <c r="I3" s="93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customFormat="false" ht="12.75" hidden="false" customHeight="false" outlineLevel="0" collapsed="false">
      <c r="K4" s="79"/>
      <c r="L4" s="80"/>
      <c r="M4" s="80"/>
      <c r="N4" s="81"/>
    </row>
    <row r="5" customFormat="false" ht="12.75" hidden="false" customHeight="false" outlineLevel="0" collapsed="false">
      <c r="K5" s="82"/>
      <c r="L5" s="21" t="s">
        <v>85</v>
      </c>
      <c r="M5" s="21" t="s">
        <v>86</v>
      </c>
      <c r="N5" s="83" t="s">
        <v>87</v>
      </c>
    </row>
    <row r="6" customFormat="false" ht="12.75" hidden="false" customHeight="false" outlineLevel="0" collapsed="false">
      <c r="C6" s="54" t="n">
        <v>37135</v>
      </c>
      <c r="E6" s="94" t="n">
        <v>2001</v>
      </c>
      <c r="F6" s="54"/>
      <c r="G6" s="94" t="n">
        <v>2002</v>
      </c>
      <c r="H6" s="54"/>
      <c r="I6" s="54" t="s">
        <v>180</v>
      </c>
      <c r="K6" s="82"/>
      <c r="L6" s="21"/>
      <c r="M6" s="21"/>
      <c r="N6" s="83"/>
      <c r="O6" s="94" t="n">
        <v>2002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/>
      <c r="G7" s="55" t="s">
        <v>94</v>
      </c>
      <c r="H7" s="55"/>
      <c r="I7" s="55" t="s">
        <v>181</v>
      </c>
      <c r="K7" s="82"/>
      <c r="L7" s="21"/>
      <c r="M7" s="21"/>
      <c r="N7" s="8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'[21]Executive Orig'!C8+[21]Trading!C8+[21]Origination!C8+'[21]Mid Market'!C8+[21]Services!C8+[21]Fundamentals!C8</f>
        <v>4789958.99</v>
      </c>
      <c r="E8" s="58" t="n">
        <f aca="false">(C8/9)*12</f>
        <v>6386611.98666667</v>
      </c>
      <c r="F8" s="58"/>
      <c r="G8" s="58" t="n">
        <v>495000</v>
      </c>
      <c r="H8" s="58"/>
      <c r="I8" s="85" t="n">
        <f aca="false">+G8/$G$23</f>
        <v>0.471726905556827</v>
      </c>
      <c r="K8" s="82" t="s">
        <v>96</v>
      </c>
      <c r="L8" s="43" t="n">
        <v>0</v>
      </c>
      <c r="M8" s="21" t="n">
        <f aca="false">+M11</f>
        <v>6</v>
      </c>
      <c r="N8" s="86" t="n">
        <f aca="false">N28</f>
        <v>673200</v>
      </c>
      <c r="O8" s="58" t="n">
        <f aca="false">+G8/$G$29*$O$29</f>
        <v>70714.2857142857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'[21]Executive Orig'!C9+[21]Trading!C9+[21]Origination!C9+'[21]Mid Market'!C9+[21]Services!C9+[21]Fundamentals!C9</f>
        <v>1464000</v>
      </c>
      <c r="E9" s="58" t="n">
        <f aca="false">+C9</f>
        <v>1464000</v>
      </c>
      <c r="F9" s="58"/>
      <c r="G9" s="58"/>
      <c r="H9" s="58"/>
      <c r="I9" s="85" t="n">
        <f aca="false">+G9/$G$23</f>
        <v>0</v>
      </c>
      <c r="K9" s="82"/>
      <c r="L9" s="21"/>
      <c r="M9" s="21"/>
      <c r="N9" s="83"/>
      <c r="O9" s="58" t="n">
        <f aca="false">+G9/$G$29*$O$29</f>
        <v>0</v>
      </c>
    </row>
    <row r="10" customFormat="false" ht="12.75" hidden="false" customHeight="false" outlineLevel="0" collapsed="false">
      <c r="B10" s="57" t="s">
        <v>176</v>
      </c>
      <c r="C10" s="58" t="n">
        <f aca="false">'[21]Executive Orig'!C10+[21]Trading!C10+[21]Origination!C10+'[21]Mid Market'!C10+[21]Services!C10+[21]Fundamentals!C10</f>
        <v>804567</v>
      </c>
      <c r="E10" s="58" t="n">
        <f aca="false">(C10/9)*12</f>
        <v>1072756</v>
      </c>
      <c r="F10" s="58"/>
      <c r="G10" s="58" t="n">
        <v>132000</v>
      </c>
      <c r="H10" s="58"/>
      <c r="I10" s="85" t="n">
        <f aca="false">+G10/$G$23</f>
        <v>0.125793841481821</v>
      </c>
      <c r="K10" s="82"/>
      <c r="L10" s="21"/>
      <c r="M10" s="21"/>
      <c r="N10" s="83"/>
      <c r="O10" s="58" t="n">
        <f aca="false">+G10/$G$29*$O$29</f>
        <v>18857.1428571429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'[21]Executive Orig'!C11+[21]Trading!C11+[21]Origination!C11+'[21]Mid Market'!C11+[21]Services!C11+[21]Fundamentals!C11</f>
        <v>1096068.21</v>
      </c>
      <c r="E11" s="58" t="n">
        <f aca="false">(C11/9)*12</f>
        <v>1461424.28</v>
      </c>
      <c r="F11" s="58"/>
      <c r="G11" s="58" t="n">
        <v>125400</v>
      </c>
      <c r="H11" s="58"/>
      <c r="I11" s="85" t="n">
        <f aca="false">+G11/$G$23</f>
        <v>0.11950414940773</v>
      </c>
      <c r="K11" s="82" t="s">
        <v>67</v>
      </c>
      <c r="L11" s="74" t="n">
        <f aca="false">(E12+E13+E14+E15+E16+E17+E18+E19+E20+E21+E22)/E29</f>
        <v>47533.8552808989</v>
      </c>
      <c r="M11" s="21" t="n">
        <f aca="false">M28</f>
        <v>6</v>
      </c>
      <c r="N11" s="86" t="n">
        <f aca="false">L11*M11</f>
        <v>285203.131685393</v>
      </c>
      <c r="O11" s="58" t="n">
        <f aca="false">+G11/$G$29*$O$29</f>
        <v>17914.2857142857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'[21]Executive Orig'!C12+[21]Trading!C12+[21]Origination!C12+'[21]Mid Market'!C12+[21]Services!C12+[21]Fundamentals!C12</f>
        <v>658117.68</v>
      </c>
      <c r="E12" s="62" t="n">
        <f aca="false">((C12/9)*12)*1.2</f>
        <v>1052988.288</v>
      </c>
      <c r="F12" s="58"/>
      <c r="G12" s="58" t="n">
        <v>30000</v>
      </c>
      <c r="H12" s="58"/>
      <c r="I12" s="85" t="n">
        <f aca="false">+G12/$G$23</f>
        <v>0.0285895094276865</v>
      </c>
      <c r="K12" s="82"/>
      <c r="L12" s="21"/>
      <c r="M12" s="21"/>
      <c r="N12" s="83"/>
      <c r="O12" s="58" t="n">
        <f aca="false">+G12/$G$29*$O$29</f>
        <v>4285.71428571429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'[21]Executive Orig'!C13+[21]Trading!C13+[21]Origination!C13+'[21]Mid Market'!C13+[21]Services!C13+[21]Fundamentals!C13</f>
        <v>719773.8</v>
      </c>
      <c r="E13" s="62" t="n">
        <f aca="false">((C13/9)*12)*1.2</f>
        <v>1151638.08</v>
      </c>
      <c r="F13" s="58"/>
      <c r="G13" s="58" t="n">
        <v>30000</v>
      </c>
      <c r="H13" s="58"/>
      <c r="I13" s="85" t="n">
        <f aca="false">+G13/$G$23</f>
        <v>0.0285895094276865</v>
      </c>
      <c r="K13" s="87" t="s">
        <v>105</v>
      </c>
      <c r="L13" s="88"/>
      <c r="M13" s="88"/>
      <c r="N13" s="89" t="n">
        <f aca="false">N8+N11</f>
        <v>958403.131685393</v>
      </c>
      <c r="O13" s="58" t="n">
        <f aca="false">+G13/$G$29*$O$29</f>
        <v>4285.71428571429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'[21]Executive Orig'!C14+[21]Trading!C14+[21]Origination!C14+'[21]Mid Market'!C14+[21]Services!C14+[21]Fundamentals!C14-C32</f>
        <v>0.239999999757856</v>
      </c>
      <c r="E14" s="62" t="n">
        <f aca="false">((C14/9)*12)*1.2</f>
        <v>0.38399999961257</v>
      </c>
      <c r="F14" s="58"/>
      <c r="G14" s="58" t="n">
        <v>80000</v>
      </c>
      <c r="H14" s="58"/>
      <c r="I14" s="85" t="n">
        <f aca="false">+G14/$G$23</f>
        <v>0.076238691807164</v>
      </c>
      <c r="O14" s="58" t="n">
        <f aca="false">+G14/$G$29*$O$29</f>
        <v>11428.5714285714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'[21]Executive Orig'!C15+[21]Trading!C15+[21]Origination!C15+'[21]Mid Market'!C15+[21]Services!C15+[21]Fundamentals!C15</f>
        <v>128890.14</v>
      </c>
      <c r="E15" s="62" t="n">
        <f aca="false">((C15/9)*12)*1.2</f>
        <v>206224.224</v>
      </c>
      <c r="F15" s="58"/>
      <c r="G15" s="58" t="n">
        <v>20160</v>
      </c>
      <c r="H15" s="58"/>
      <c r="I15" s="85" t="n">
        <f aca="false">+G15/$G$23</f>
        <v>0.0192121503354053</v>
      </c>
      <c r="O15" s="58" t="n">
        <f aca="false">+G15/$G$29*$O$29</f>
        <v>2880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'[21]Executive Orig'!C16+[21]Trading!C16+[21]Origination!C16+'[21]Mid Market'!C16+[21]Services!C16+[21]Fundamentals!C16</f>
        <v>0</v>
      </c>
      <c r="E16" s="62" t="n">
        <f aca="false">((C16/9)*12)*1.2</f>
        <v>0</v>
      </c>
      <c r="F16" s="58"/>
      <c r="G16" s="58" t="n">
        <v>0</v>
      </c>
      <c r="H16" s="58"/>
      <c r="I16" s="85" t="n">
        <f aca="false">+G16/$G$23</f>
        <v>0</v>
      </c>
      <c r="K16" s="0" t="s">
        <v>177</v>
      </c>
      <c r="L16" s="43" t="n">
        <v>33600</v>
      </c>
      <c r="M16" s="0" t="n">
        <v>0</v>
      </c>
      <c r="N16" s="43" t="n">
        <f aca="false">L16*M16</f>
        <v>0</v>
      </c>
      <c r="O16" s="58" t="n">
        <f aca="false">+G16/$G$29*$O$29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'[21]Executive Orig'!C17+[21]Trading!C17+[21]Origination!C17+'[21]Mid Market'!C17+[21]Services!C17+[21]Fundamentals!C17</f>
        <v>11300</v>
      </c>
      <c r="E17" s="62" t="n">
        <f aca="false">((C17/9)*12)*1.2</f>
        <v>18080</v>
      </c>
      <c r="F17" s="58"/>
      <c r="G17" s="58" t="n">
        <v>0</v>
      </c>
      <c r="H17" s="58"/>
      <c r="I17" s="85" t="n">
        <f aca="false">+G17/$G$23</f>
        <v>0</v>
      </c>
      <c r="K17" s="0" t="s">
        <v>115</v>
      </c>
      <c r="L17" s="43" t="n">
        <v>52800</v>
      </c>
      <c r="M17" s="0" t="n">
        <v>0</v>
      </c>
      <c r="N17" s="43" t="n">
        <f aca="false">L17*M17</f>
        <v>0</v>
      </c>
      <c r="O17" s="58" t="n">
        <f aca="false">+G17/$G$29*$O$29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'[21]Executive Orig'!C18+[21]Trading!C18+[21]Origination!C18+'[21]Mid Market'!C18+[21]Services!C18+[21]Fundamentals!C18</f>
        <v>327447.74</v>
      </c>
      <c r="E18" s="62" t="n">
        <f aca="false">((C18/9)*12)*1.2</f>
        <v>523916.384</v>
      </c>
      <c r="F18" s="58"/>
      <c r="G18" s="58" t="n">
        <v>6300</v>
      </c>
      <c r="H18" s="58"/>
      <c r="I18" s="85" t="n">
        <f aca="false">+G18/$G$23</f>
        <v>0.00600379697981416</v>
      </c>
      <c r="K18" s="0" t="s">
        <v>118</v>
      </c>
      <c r="L18" s="43" t="n">
        <v>54000</v>
      </c>
      <c r="M18" s="0" t="n">
        <v>0</v>
      </c>
      <c r="N18" s="43" t="n">
        <f aca="false">L18*M18</f>
        <v>0</v>
      </c>
      <c r="O18" s="58" t="n">
        <f aca="false">+G18/$G$29*$O$29</f>
        <v>900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'[21]Executive Orig'!C19+[21]Trading!C19+[21]Origination!C19+'[21]Mid Market'!C19+[21]Services!C19+[21]Fundamentals!C19</f>
        <v>155845.37</v>
      </c>
      <c r="E19" s="62" t="n">
        <f aca="false">((C19/9)*12)*1.2</f>
        <v>249352.592</v>
      </c>
      <c r="F19" s="58"/>
      <c r="G19" s="58" t="n">
        <v>49612.0016179775</v>
      </c>
      <c r="H19" s="58"/>
      <c r="I19" s="85" t="n">
        <f aca="false">+G19/$G$23</f>
        <v>0.0472794262661189</v>
      </c>
      <c r="K19" s="0" t="s">
        <v>121</v>
      </c>
      <c r="L19" s="43" t="n">
        <v>63000</v>
      </c>
      <c r="M19" s="0" t="n">
        <v>1</v>
      </c>
      <c r="N19" s="43" t="n">
        <f aca="false">L19*M19</f>
        <v>63000</v>
      </c>
      <c r="O19" s="58" t="n">
        <f aca="false">+G19/$G$29*$O$29</f>
        <v>7087.42880256822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'[21]Executive Orig'!C20+[21]Trading!C20+[21]Origination!C20+'[21]Mid Market'!C20+[21]Services!C20+[21]Fundamentals!C20</f>
        <v>116.15</v>
      </c>
      <c r="E20" s="62" t="n">
        <f aca="false">((C20/9)*12)*1.2</f>
        <v>185.84</v>
      </c>
      <c r="F20" s="58"/>
      <c r="G20" s="58" t="n">
        <v>0</v>
      </c>
      <c r="H20" s="58"/>
      <c r="I20" s="85" t="n">
        <f aca="false">+G20/$G$23</f>
        <v>0</v>
      </c>
      <c r="K20" s="0" t="s">
        <v>124</v>
      </c>
      <c r="L20" s="43" t="n">
        <v>78000</v>
      </c>
      <c r="M20" s="0" t="n">
        <v>2</v>
      </c>
      <c r="N20" s="43" t="n">
        <f aca="false">L20*M20</f>
        <v>156000</v>
      </c>
      <c r="O20" s="58" t="n">
        <f aca="false">+G20/$G$29*$O$29</f>
        <v>0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'[21]Executive Orig'!C21+[21]Trading!C21+[21]Origination!C21+'[21]Mid Market'!C21+[21]Services!C21+[21]Fundamentals!C21</f>
        <v>566869.93</v>
      </c>
      <c r="E21" s="62" t="n">
        <f aca="false">((C21/9)*12)*1.2</f>
        <v>906991.888</v>
      </c>
      <c r="F21" s="58"/>
      <c r="G21" s="58" t="n">
        <v>71336.4406292135</v>
      </c>
      <c r="H21" s="58"/>
      <c r="I21" s="85" t="n">
        <f aca="false">+G21/$G$23</f>
        <v>0.0679824613968832</v>
      </c>
      <c r="K21" s="0" t="s">
        <v>127</v>
      </c>
      <c r="L21" s="43" t="n">
        <v>66000</v>
      </c>
      <c r="M21" s="0" t="n">
        <v>1</v>
      </c>
      <c r="N21" s="43" t="n">
        <f aca="false">L21*M21</f>
        <v>66000</v>
      </c>
      <c r="O21" s="58" t="n">
        <f aca="false">+G21/$G$29*$O$29</f>
        <v>10190.9200898876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'[21]Executive Orig'!C22+[21]Trading!C22+[21]Origination!C22+'[21]Mid Market'!C22+[21]Services!C22+[21]Fundamentals!C22</f>
        <v>75709.65</v>
      </c>
      <c r="E22" s="62" t="n">
        <f aca="false">((C22/9)*12)*1.2</f>
        <v>121135.44</v>
      </c>
      <c r="F22" s="58"/>
      <c r="G22" s="58" t="n">
        <v>9527.50651685393</v>
      </c>
      <c r="H22" s="58"/>
      <c r="I22" s="85" t="n">
        <f aca="false">+G22/$G$23</f>
        <v>0.00907955791286466</v>
      </c>
      <c r="K22" s="0" t="s">
        <v>130</v>
      </c>
      <c r="L22" s="43" t="n">
        <v>97200</v>
      </c>
      <c r="M22" s="0" t="n">
        <v>0</v>
      </c>
      <c r="N22" s="43" t="n">
        <f aca="false">L22*M22</f>
        <v>0</v>
      </c>
      <c r="O22" s="58" t="n">
        <f aca="false">+G22/$G$29*$O$29</f>
        <v>1361.07235955056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10798664.9</v>
      </c>
      <c r="E23" s="68" t="n">
        <f aca="false">SUM(E8:E22)</f>
        <v>14615305.3866667</v>
      </c>
      <c r="F23" s="70"/>
      <c r="G23" s="68" t="n">
        <v>1049335.94876404</v>
      </c>
      <c r="H23" s="70"/>
      <c r="I23" s="91" t="n">
        <f aca="false">SUM(I8:I22)</f>
        <v>1</v>
      </c>
      <c r="K23" s="0" t="s">
        <v>133</v>
      </c>
      <c r="L23" s="43" t="n">
        <v>120000</v>
      </c>
      <c r="M23" s="0" t="n">
        <v>1</v>
      </c>
      <c r="N23" s="43" t="n">
        <f aca="false">L23*M23</f>
        <v>120000</v>
      </c>
      <c r="O23" s="68" t="n">
        <f aca="false">SUM(O8:O22)</f>
        <v>149905.135537721</v>
      </c>
    </row>
    <row r="24" customFormat="false" ht="12.75" hidden="false" customHeight="false" outlineLevel="0" collapsed="false">
      <c r="K24" s="0" t="s">
        <v>134</v>
      </c>
      <c r="L24" s="43" t="n">
        <v>156000</v>
      </c>
      <c r="M24" s="0" t="n">
        <v>1</v>
      </c>
      <c r="N24" s="43" t="n">
        <f aca="false">L24*M24</f>
        <v>156000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'[21]Executive Orig'!E25+[21]Trading!E25+[21]Origination!E25+'[21]Mid Market'!E25+[21]Services!E25+[21]Fundamentals!E25</f>
        <v>74</v>
      </c>
      <c r="F25" s="58"/>
      <c r="G25" s="71" t="n">
        <v>5</v>
      </c>
      <c r="H25" s="58"/>
      <c r="K25" s="0" t="s">
        <v>135</v>
      </c>
      <c r="L25" s="43" t="n">
        <v>180000</v>
      </c>
      <c r="M25" s="0" t="n">
        <v>0</v>
      </c>
      <c r="N25" s="43" t="n">
        <f aca="false">L25*M25</f>
        <v>0</v>
      </c>
      <c r="O25" s="71" t="n">
        <v>1</v>
      </c>
    </row>
    <row r="26" customFormat="false" ht="12.75" hidden="false" customHeight="false" outlineLevel="0" collapsed="false">
      <c r="C26" s="58"/>
      <c r="E26" s="58"/>
      <c r="F26" s="58"/>
      <c r="G26" s="58"/>
      <c r="H26" s="58"/>
      <c r="K26" s="0" t="s">
        <v>136</v>
      </c>
      <c r="L26" s="43" t="n">
        <v>216000</v>
      </c>
      <c r="M26" s="0" t="n">
        <v>0</v>
      </c>
      <c r="N26" s="43" t="n">
        <f aca="false">L26*M26</f>
        <v>0</v>
      </c>
      <c r="O26" s="58"/>
    </row>
    <row r="27" customFormat="false" ht="12.75" hidden="false" customHeight="false" outlineLevel="0" collapsed="false">
      <c r="B27" s="67" t="s">
        <v>178</v>
      </c>
      <c r="C27" s="58"/>
      <c r="E27" s="71" t="n">
        <f aca="false">'[21]Executive Orig'!E27+[21]Trading!E27+[21]Origination!E27+'[21]Mid Market'!E27+[21]Services!E27+[21]Fundamentals!E27</f>
        <v>15</v>
      </c>
      <c r="F27" s="58"/>
      <c r="G27" s="71" t="n">
        <v>2</v>
      </c>
      <c r="H27" s="58"/>
      <c r="K27" s="0" t="s">
        <v>138</v>
      </c>
      <c r="L27" s="43" t="n">
        <v>240000</v>
      </c>
      <c r="M27" s="0" t="n">
        <v>0</v>
      </c>
      <c r="N27" s="43" t="n">
        <f aca="false">L27*M27</f>
        <v>0</v>
      </c>
      <c r="O27" s="71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6</v>
      </c>
      <c r="N28" s="43" t="n">
        <f aca="false">SUM(N16:N27)*1.2</f>
        <v>673200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89</v>
      </c>
      <c r="F29" s="58"/>
      <c r="G29" s="71" t="n">
        <v>7</v>
      </c>
      <c r="H29" s="58"/>
      <c r="I29" s="43"/>
      <c r="O29" s="71" t="n">
        <f aca="false">+O27+O25</f>
        <v>1</v>
      </c>
    </row>
    <row r="31" customFormat="false" ht="12.75" hidden="false" customHeight="false" outlineLevel="0" collapsed="false">
      <c r="J31" s="16" t="s">
        <v>140</v>
      </c>
      <c r="K31" s="43"/>
      <c r="L31" s="43"/>
      <c r="M31" s="43"/>
    </row>
    <row r="32" customFormat="false" ht="12.75" hidden="true" customHeight="false" outlineLevel="0" collapsed="false">
      <c r="B32" s="57" t="s">
        <v>107</v>
      </c>
      <c r="C32" s="58" t="n">
        <v>677322</v>
      </c>
      <c r="K32" s="43"/>
      <c r="L32" s="43"/>
      <c r="M32" s="43"/>
    </row>
    <row r="33" customFormat="false" ht="12.75" hidden="false" customHeight="false" outlineLevel="0" collapsed="false">
      <c r="J33" s="73" t="s">
        <v>141</v>
      </c>
      <c r="K33" s="74" t="s">
        <v>142</v>
      </c>
      <c r="L33" s="74" t="s">
        <v>143</v>
      </c>
      <c r="M33" s="74" t="s">
        <v>86</v>
      </c>
      <c r="N33" s="74" t="s">
        <v>144</v>
      </c>
    </row>
    <row r="34" customFormat="false" ht="12.75" hidden="false" customHeight="false" outlineLevel="0" collapsed="false">
      <c r="J34" s="75" t="n">
        <f aca="false">SUM(E12:E22)</f>
        <v>4230513.12</v>
      </c>
      <c r="K34" s="74" t="n">
        <f aca="false">+E29</f>
        <v>89</v>
      </c>
      <c r="L34" s="74" t="n">
        <f aca="false">+J34/K34</f>
        <v>47533.8552808989</v>
      </c>
      <c r="M34" s="74" t="n">
        <f aca="false">+M11</f>
        <v>6</v>
      </c>
      <c r="N34" s="74" t="n">
        <f aca="false">+L34*M34</f>
        <v>285203.131685393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7" activeCellId="0" sqref="G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47" min="16" style="0" width="9.06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4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</row>
    <row r="2" customFormat="false" ht="18" hidden="false" customHeight="false" outlineLevel="0" collapsed="false">
      <c r="B2" s="44" t="s">
        <v>283</v>
      </c>
      <c r="C2" s="44"/>
      <c r="D2" s="44"/>
      <c r="E2" s="44"/>
      <c r="F2" s="44"/>
      <c r="G2" s="44"/>
      <c r="H2" s="44"/>
      <c r="I2" s="44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</row>
    <row r="3" customFormat="false" ht="18.75" hidden="false" customHeight="false" outlineLevel="0" collapsed="false">
      <c r="B3" s="93" t="s">
        <v>5</v>
      </c>
      <c r="C3" s="93"/>
      <c r="D3" s="93"/>
      <c r="E3" s="93"/>
      <c r="F3" s="93"/>
      <c r="G3" s="93"/>
      <c r="H3" s="93"/>
      <c r="I3" s="93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customFormat="false" ht="12.75" hidden="false" customHeight="false" outlineLevel="0" collapsed="false">
      <c r="K4" s="79"/>
      <c r="L4" s="80"/>
      <c r="M4" s="80"/>
      <c r="N4" s="81"/>
    </row>
    <row r="5" customFormat="false" ht="12.75" hidden="false" customHeight="false" outlineLevel="0" collapsed="false">
      <c r="K5" s="82"/>
      <c r="L5" s="21" t="s">
        <v>85</v>
      </c>
      <c r="M5" s="21" t="s">
        <v>86</v>
      </c>
      <c r="N5" s="83" t="s">
        <v>87</v>
      </c>
    </row>
    <row r="6" customFormat="false" ht="12.75" hidden="false" customHeight="false" outlineLevel="0" collapsed="false">
      <c r="C6" s="54" t="n">
        <v>37135</v>
      </c>
      <c r="E6" s="94" t="n">
        <v>2001</v>
      </c>
      <c r="F6" s="54"/>
      <c r="G6" s="94" t="n">
        <v>2002</v>
      </c>
      <c r="H6" s="54"/>
      <c r="I6" s="54" t="s">
        <v>180</v>
      </c>
      <c r="K6" s="82"/>
      <c r="L6" s="21"/>
      <c r="M6" s="21"/>
      <c r="N6" s="83"/>
      <c r="O6" s="94" t="n">
        <v>2002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/>
      <c r="G7" s="55" t="s">
        <v>94</v>
      </c>
      <c r="H7" s="55"/>
      <c r="I7" s="55" t="s">
        <v>181</v>
      </c>
      <c r="K7" s="82"/>
      <c r="L7" s="21"/>
      <c r="M7" s="21"/>
      <c r="N7" s="83"/>
      <c r="O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'[21]Executive Orig'!C8+[21]Trading!C8+[21]Origination!C8+'[21]Mid Market'!C8+[21]Services!C8+[21]Fundamentals!C8</f>
        <v>4789958.99</v>
      </c>
      <c r="E8" s="58" t="n">
        <f aca="false">(C8/9)*12</f>
        <v>6386611.98666667</v>
      </c>
      <c r="F8" s="58"/>
      <c r="G8" s="58" t="n">
        <v>120000</v>
      </c>
      <c r="H8" s="58"/>
      <c r="I8" s="85" t="n">
        <f aca="false">+G8/$G$23</f>
        <v>0.370679546215066</v>
      </c>
      <c r="K8" s="82" t="s">
        <v>96</v>
      </c>
      <c r="L8" s="43" t="n">
        <v>0</v>
      </c>
      <c r="M8" s="21" t="n">
        <f aca="false">+M11</f>
        <v>3</v>
      </c>
      <c r="N8" s="86" t="n">
        <f aca="false">N28</f>
        <v>339840</v>
      </c>
      <c r="O8" s="58" t="n">
        <f aca="false">+G8/$G$29*$O$29</f>
        <v>60000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'[21]Executive Orig'!C9+[21]Trading!C9+[21]Origination!C9+'[21]Mid Market'!C9+[21]Services!C9+[21]Fundamentals!C9</f>
        <v>1464000</v>
      </c>
      <c r="E9" s="58" t="n">
        <f aca="false">+C9</f>
        <v>1464000</v>
      </c>
      <c r="F9" s="58"/>
      <c r="G9" s="58"/>
      <c r="H9" s="58"/>
      <c r="I9" s="85" t="n">
        <f aca="false">+G9/$G$23</f>
        <v>0</v>
      </c>
      <c r="K9" s="82"/>
      <c r="L9" s="21"/>
      <c r="M9" s="21"/>
      <c r="N9" s="83"/>
      <c r="O9" s="58" t="n">
        <f aca="false">+G9/$G$29*$O$29</f>
        <v>0</v>
      </c>
    </row>
    <row r="10" customFormat="false" ht="12.75" hidden="false" customHeight="false" outlineLevel="0" collapsed="false">
      <c r="B10" s="57" t="s">
        <v>176</v>
      </c>
      <c r="C10" s="58" t="n">
        <f aca="false">'[21]Executive Orig'!C10+[21]Trading!C10+[21]Origination!C10+'[21]Mid Market'!C10+[21]Services!C10+[21]Fundamentals!C10</f>
        <v>804567</v>
      </c>
      <c r="E10" s="58" t="n">
        <f aca="false">(C10/9)*12</f>
        <v>1072756</v>
      </c>
      <c r="F10" s="58"/>
      <c r="G10" s="58" t="n">
        <v>97200</v>
      </c>
      <c r="H10" s="58"/>
      <c r="I10" s="85" t="n">
        <f aca="false">+G10/$G$23</f>
        <v>0.300250432434203</v>
      </c>
      <c r="K10" s="82"/>
      <c r="L10" s="21"/>
      <c r="M10" s="21"/>
      <c r="N10" s="83"/>
      <c r="O10" s="58" t="n">
        <f aca="false">+G10/$G$29*$O$29</f>
        <v>48600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'[21]Executive Orig'!C11+[21]Trading!C11+[21]Origination!C11+'[21]Mid Market'!C11+[21]Services!C11+[21]Fundamentals!C11</f>
        <v>1096068.21</v>
      </c>
      <c r="E11" s="58" t="n">
        <f aca="false">(C11/9)*12</f>
        <v>1461424.28</v>
      </c>
      <c r="F11" s="58"/>
      <c r="G11" s="58" t="n">
        <v>43440</v>
      </c>
      <c r="H11" s="58"/>
      <c r="I11" s="85" t="n">
        <f aca="false">+G11/$G$23</f>
        <v>0.134185995729854</v>
      </c>
      <c r="K11" s="82" t="s">
        <v>67</v>
      </c>
      <c r="L11" s="74" t="n">
        <f aca="false">(E12+E13+E14+E15+E16+E17+E18+E19+E20+E21+E22)/E29</f>
        <v>47533.8552808989</v>
      </c>
      <c r="M11" s="21" t="n">
        <f aca="false">M28</f>
        <v>3</v>
      </c>
      <c r="N11" s="86" t="n">
        <f aca="false">L11*M11</f>
        <v>142601.565842697</v>
      </c>
      <c r="O11" s="58" t="n">
        <f aca="false">+G11/$G$29*$O$29</f>
        <v>21720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'[21]Executive Orig'!C12+[21]Trading!C12+[21]Origination!C12+'[21]Mid Market'!C12+[21]Services!C12+[21]Fundamentals!C12</f>
        <v>658117.68</v>
      </c>
      <c r="E12" s="62" t="n">
        <f aca="false">((C12/9)*12)*1.2</f>
        <v>1052988.288</v>
      </c>
      <c r="F12" s="58"/>
      <c r="G12" s="58" t="n">
        <v>14400</v>
      </c>
      <c r="H12" s="58"/>
      <c r="I12" s="85" t="n">
        <f aca="false">+G12/$G$23</f>
        <v>0.0444815455458079</v>
      </c>
      <c r="K12" s="82"/>
      <c r="L12" s="21"/>
      <c r="M12" s="21"/>
      <c r="N12" s="83"/>
      <c r="O12" s="58" t="n">
        <f aca="false">+G12/$G$29*$O$29</f>
        <v>7200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'[21]Executive Orig'!C13+[21]Trading!C13+[21]Origination!C13+'[21]Mid Market'!C13+[21]Services!C13+[21]Fundamentals!C13</f>
        <v>719773.8</v>
      </c>
      <c r="E13" s="62" t="n">
        <f aca="false">((C13/9)*12)*1.2</f>
        <v>1151638.08</v>
      </c>
      <c r="F13" s="58"/>
      <c r="G13" s="58" t="n">
        <v>27800</v>
      </c>
      <c r="H13" s="58"/>
      <c r="I13" s="85" t="n">
        <f aca="false">+G13/$G$23</f>
        <v>0.0858740948731569</v>
      </c>
      <c r="K13" s="87" t="s">
        <v>105</v>
      </c>
      <c r="L13" s="88"/>
      <c r="M13" s="88"/>
      <c r="N13" s="89" t="n">
        <f aca="false">N8+N11</f>
        <v>482441.565842697</v>
      </c>
      <c r="O13" s="58" t="n">
        <f aca="false">+G13/$G$29*$O$29</f>
        <v>13900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'[21]Executive Orig'!C14+[21]Trading!C14+[21]Origination!C14+'[21]Mid Market'!C14+[21]Services!C14+[21]Fundamentals!C14-C32</f>
        <v>0.239999999757856</v>
      </c>
      <c r="E14" s="62" t="n">
        <f aca="false">((C14/9)*12)*1.2</f>
        <v>0.38399999961257</v>
      </c>
      <c r="F14" s="58"/>
      <c r="G14" s="58" t="n">
        <v>0.00862921347443977</v>
      </c>
      <c r="H14" s="58"/>
      <c r="I14" s="85" t="n">
        <f aca="false">+G14/$G$23</f>
        <v>2.66556077908189E-008</v>
      </c>
      <c r="O14" s="58" t="n">
        <f aca="false">+G14/$G$29*$O$29</f>
        <v>0.00431460673721988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'[21]Executive Orig'!C15+[21]Trading!C15+[21]Origination!C15+'[21]Mid Market'!C15+[21]Services!C15+[21]Fundamentals!C15</f>
        <v>128890.14</v>
      </c>
      <c r="E15" s="62" t="n">
        <f aca="false">((C15/9)*12)*1.2</f>
        <v>206224.224</v>
      </c>
      <c r="F15" s="58"/>
      <c r="G15" s="58" t="n">
        <v>5760</v>
      </c>
      <c r="H15" s="58"/>
      <c r="I15" s="85" t="n">
        <f aca="false">+G15/$G$23</f>
        <v>0.0177926182183232</v>
      </c>
      <c r="O15" s="58" t="n">
        <f aca="false">+G15/$G$29*$O$29</f>
        <v>2880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'[21]Executive Orig'!C16+[21]Trading!C16+[21]Origination!C16+'[21]Mid Market'!C16+[21]Services!C16+[21]Fundamentals!C16</f>
        <v>0</v>
      </c>
      <c r="E16" s="62" t="n">
        <f aca="false">((C16/9)*12)*1.2</f>
        <v>0</v>
      </c>
      <c r="F16" s="58"/>
      <c r="G16" s="58" t="n">
        <v>0</v>
      </c>
      <c r="H16" s="58"/>
      <c r="I16" s="85" t="n">
        <f aca="false">+G16/$G$23</f>
        <v>0</v>
      </c>
      <c r="K16" s="0" t="s">
        <v>177</v>
      </c>
      <c r="L16" s="43" t="n">
        <v>33600</v>
      </c>
      <c r="M16" s="0" t="n">
        <v>0</v>
      </c>
      <c r="N16" s="43" t="n">
        <f aca="false">L16*M16</f>
        <v>0</v>
      </c>
      <c r="O16" s="58" t="n">
        <f aca="false">+G16/$G$29*$O$29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'[21]Executive Orig'!C17+[21]Trading!C17+[21]Origination!C17+'[21]Mid Market'!C17+[21]Services!C17+[21]Fundamentals!C17</f>
        <v>11300</v>
      </c>
      <c r="E17" s="62" t="n">
        <f aca="false">((C17/9)*12)*1.2</f>
        <v>18080</v>
      </c>
      <c r="F17" s="58"/>
      <c r="G17" s="58" t="n">
        <v>0</v>
      </c>
      <c r="H17" s="58"/>
      <c r="I17" s="85" t="n">
        <f aca="false">+G17/$G$23</f>
        <v>0</v>
      </c>
      <c r="K17" s="0" t="s">
        <v>115</v>
      </c>
      <c r="L17" s="43" t="n">
        <v>52800</v>
      </c>
      <c r="M17" s="0" t="n">
        <v>0</v>
      </c>
      <c r="N17" s="43" t="n">
        <f aca="false">L17*M17</f>
        <v>0</v>
      </c>
      <c r="O17" s="58" t="n">
        <f aca="false">+G17/$G$29*$O$29</f>
        <v>0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'[21]Executive Orig'!C18+[21]Trading!C18+[21]Origination!C18+'[21]Mid Market'!C18+[21]Services!C18+[21]Fundamentals!C18</f>
        <v>327447.74</v>
      </c>
      <c r="E18" s="62" t="n">
        <f aca="false">((C18/9)*12)*1.2</f>
        <v>523916.384</v>
      </c>
      <c r="F18" s="58"/>
      <c r="G18" s="58" t="n">
        <v>1800</v>
      </c>
      <c r="H18" s="58"/>
      <c r="I18" s="85" t="n">
        <f aca="false">+G18/$G$23</f>
        <v>0.00556019319322599</v>
      </c>
      <c r="K18" s="0" t="s">
        <v>118</v>
      </c>
      <c r="L18" s="43" t="n">
        <v>54000</v>
      </c>
      <c r="M18" s="0" t="n">
        <v>0</v>
      </c>
      <c r="N18" s="43" t="n">
        <f aca="false">L18*M18</f>
        <v>0</v>
      </c>
      <c r="O18" s="58" t="n">
        <f aca="false">+G18/$G$29*$O$29</f>
        <v>900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'[21]Executive Orig'!C19+[21]Trading!C19+[21]Origination!C19+'[21]Mid Market'!C19+[21]Services!C19+[21]Fundamentals!C19</f>
        <v>155845.37</v>
      </c>
      <c r="E19" s="62" t="n">
        <f aca="false">((C19/9)*12)*1.2</f>
        <v>249352.592</v>
      </c>
      <c r="F19" s="58"/>
      <c r="G19" s="58" t="n">
        <v>5603.42903370787</v>
      </c>
      <c r="H19" s="58"/>
      <c r="I19" s="85" t="n">
        <f aca="false">+G19/$G$23</f>
        <v>0.0173089710955263</v>
      </c>
      <c r="K19" s="0" t="s">
        <v>121</v>
      </c>
      <c r="L19" s="43" t="n">
        <v>63000</v>
      </c>
      <c r="M19" s="0" t="n">
        <v>0</v>
      </c>
      <c r="N19" s="43" t="n">
        <f aca="false">L19*M19</f>
        <v>0</v>
      </c>
      <c r="O19" s="58" t="n">
        <f aca="false">+G19/$G$29*$O$29</f>
        <v>2801.71451685393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'[21]Executive Orig'!C20+[21]Trading!C20+[21]Origination!C20+'[21]Mid Market'!C20+[21]Services!C20+[21]Fundamentals!C20</f>
        <v>116.15</v>
      </c>
      <c r="E20" s="62" t="n">
        <f aca="false">((C20/9)*12)*1.2</f>
        <v>185.84</v>
      </c>
      <c r="F20" s="58"/>
      <c r="G20" s="58" t="n">
        <v>4.1761797752809</v>
      </c>
      <c r="H20" s="58"/>
      <c r="I20" s="85" t="n">
        <f aca="false">+G20/$G$23</f>
        <v>1.29002035334472E-005</v>
      </c>
      <c r="K20" s="0" t="s">
        <v>124</v>
      </c>
      <c r="L20" s="43" t="n">
        <v>78000</v>
      </c>
      <c r="M20" s="0" t="n">
        <f aca="false">2-2</f>
        <v>0</v>
      </c>
      <c r="N20" s="43" t="n">
        <f aca="false">L20*M20</f>
        <v>0</v>
      </c>
      <c r="O20" s="58" t="n">
        <f aca="false">+G20/$G$29*$O$29</f>
        <v>2.08808988764045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'[21]Executive Orig'!C21+[21]Trading!C21+[21]Origination!C21+'[21]Mid Market'!C21+[21]Services!C21+[21]Fundamentals!C21</f>
        <v>566869.93</v>
      </c>
      <c r="E21" s="62" t="n">
        <f aca="false">((C21/9)*12)*1.2</f>
        <v>906991.888</v>
      </c>
      <c r="F21" s="58"/>
      <c r="G21" s="58" t="n">
        <v>5000</v>
      </c>
      <c r="H21" s="58"/>
      <c r="I21" s="85" t="n">
        <f aca="false">+G21/$G$23</f>
        <v>0.0154449810922944</v>
      </c>
      <c r="K21" s="0" t="s">
        <v>127</v>
      </c>
      <c r="L21" s="43" t="n">
        <v>66000</v>
      </c>
      <c r="M21" s="0" t="n">
        <v>1</v>
      </c>
      <c r="N21" s="43" t="n">
        <f aca="false">L21*M21</f>
        <v>66000</v>
      </c>
      <c r="O21" s="58" t="n">
        <f aca="false">+G21/$G$29*$O$29</f>
        <v>2500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'[21]Executive Orig'!C22+[21]Trading!C22+[21]Origination!C22+'[21]Mid Market'!C22+[21]Services!C22+[21]Fundamentals!C22</f>
        <v>75709.65</v>
      </c>
      <c r="E22" s="62" t="n">
        <f aca="false">((C22/9)*12)*1.2</f>
        <v>121135.44</v>
      </c>
      <c r="F22" s="58"/>
      <c r="G22" s="58" t="n">
        <v>2722.14471910112</v>
      </c>
      <c r="H22" s="58"/>
      <c r="I22" s="85" t="n">
        <f aca="false">+G22/$G$23</f>
        <v>0.00840869474340118</v>
      </c>
      <c r="K22" s="0" t="s">
        <v>130</v>
      </c>
      <c r="L22" s="43" t="n">
        <v>97200</v>
      </c>
      <c r="M22" s="0" t="n">
        <v>1</v>
      </c>
      <c r="N22" s="43" t="n">
        <f aca="false">L22*M22</f>
        <v>97200</v>
      </c>
      <c r="O22" s="58" t="n">
        <f aca="false">+G22/$G$29*$O$29</f>
        <v>1361.07235955056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10798664.9</v>
      </c>
      <c r="E23" s="68" t="n">
        <f aca="false">SUM(E8:E22)</f>
        <v>14615305.3866667</v>
      </c>
      <c r="F23" s="70"/>
      <c r="G23" s="68" t="n">
        <v>323729.758561798</v>
      </c>
      <c r="H23" s="70"/>
      <c r="I23" s="91" t="n">
        <f aca="false">SUM(I8:I22)</f>
        <v>1</v>
      </c>
      <c r="K23" s="0" t="s">
        <v>133</v>
      </c>
      <c r="L23" s="43" t="n">
        <v>120000</v>
      </c>
      <c r="M23" s="0" t="n">
        <v>1</v>
      </c>
      <c r="N23" s="43" t="n">
        <f aca="false">L23*M23</f>
        <v>120000</v>
      </c>
      <c r="O23" s="68" t="n">
        <f aca="false">SUM(O8:O22)</f>
        <v>161864.879280899</v>
      </c>
    </row>
    <row r="24" customFormat="false" ht="12.75" hidden="false" customHeight="false" outlineLevel="0" collapsed="false">
      <c r="K24" s="0" t="s">
        <v>134</v>
      </c>
      <c r="L24" s="43" t="n">
        <v>156000</v>
      </c>
      <c r="M24" s="0" t="n">
        <f aca="false">1-1</f>
        <v>0</v>
      </c>
      <c r="N24" s="43" t="n">
        <f aca="false">L24*M24</f>
        <v>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'[21]Executive Orig'!E25+[21]Trading!E25+[21]Origination!E25+'[21]Mid Market'!E25+[21]Services!E25+[21]Fundamentals!E25</f>
        <v>74</v>
      </c>
      <c r="F25" s="58"/>
      <c r="G25" s="71" t="n">
        <v>1</v>
      </c>
      <c r="H25" s="58"/>
      <c r="K25" s="0" t="s">
        <v>135</v>
      </c>
      <c r="L25" s="43" t="n">
        <v>180000</v>
      </c>
      <c r="M25" s="0" t="n">
        <v>0</v>
      </c>
      <c r="N25" s="43" t="n">
        <f aca="false">L25*M25</f>
        <v>0</v>
      </c>
      <c r="O25" s="71" t="n">
        <v>1</v>
      </c>
    </row>
    <row r="26" customFormat="false" ht="12.75" hidden="false" customHeight="false" outlineLevel="0" collapsed="false">
      <c r="C26" s="58"/>
      <c r="E26" s="58"/>
      <c r="F26" s="58"/>
      <c r="G26" s="58"/>
      <c r="H26" s="58"/>
      <c r="K26" s="0" t="s">
        <v>136</v>
      </c>
      <c r="L26" s="43" t="n">
        <v>216000</v>
      </c>
      <c r="M26" s="0" t="n">
        <v>0</v>
      </c>
      <c r="N26" s="43" t="n">
        <f aca="false">L26*M26</f>
        <v>0</v>
      </c>
      <c r="O26" s="58"/>
    </row>
    <row r="27" customFormat="false" ht="12.75" hidden="false" customHeight="false" outlineLevel="0" collapsed="false">
      <c r="B27" s="67" t="s">
        <v>178</v>
      </c>
      <c r="C27" s="58"/>
      <c r="E27" s="71" t="n">
        <f aca="false">'[21]Executive Orig'!E27+[21]Trading!E27+[21]Origination!E27+'[21]Mid Market'!E27+[21]Services!E27+[21]Fundamentals!E27</f>
        <v>15</v>
      </c>
      <c r="F27" s="58"/>
      <c r="G27" s="71" t="n">
        <v>1</v>
      </c>
      <c r="H27" s="58"/>
      <c r="K27" s="0" t="s">
        <v>138</v>
      </c>
      <c r="L27" s="43" t="n">
        <v>240000</v>
      </c>
      <c r="M27" s="0" t="n">
        <v>0</v>
      </c>
      <c r="N27" s="43" t="n">
        <f aca="false">L27*M27</f>
        <v>0</v>
      </c>
      <c r="O27" s="71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3</v>
      </c>
      <c r="N28" s="43" t="n">
        <f aca="false">SUM(N16:N27)*1.2</f>
        <v>339840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+E27+E25</f>
        <v>89</v>
      </c>
      <c r="F29" s="58"/>
      <c r="G29" s="71" t="n">
        <v>2</v>
      </c>
      <c r="H29" s="58"/>
      <c r="I29" s="43"/>
      <c r="O29" s="71" t="n">
        <f aca="false">+O27+O25</f>
        <v>1</v>
      </c>
    </row>
    <row r="31" customFormat="false" ht="12.75" hidden="false" customHeight="false" outlineLevel="0" collapsed="false">
      <c r="J31" s="16" t="s">
        <v>140</v>
      </c>
      <c r="K31" s="43"/>
      <c r="L31" s="43"/>
      <c r="M31" s="43"/>
    </row>
    <row r="32" customFormat="false" ht="12.75" hidden="true" customHeight="false" outlineLevel="0" collapsed="false">
      <c r="B32" s="57" t="s">
        <v>107</v>
      </c>
      <c r="C32" s="58" t="n">
        <v>677322</v>
      </c>
      <c r="K32" s="43"/>
      <c r="L32" s="43"/>
      <c r="M32" s="43"/>
    </row>
    <row r="33" customFormat="false" ht="12.75" hidden="false" customHeight="false" outlineLevel="0" collapsed="false">
      <c r="J33" s="73" t="s">
        <v>141</v>
      </c>
      <c r="K33" s="74" t="s">
        <v>142</v>
      </c>
      <c r="L33" s="74" t="s">
        <v>143</v>
      </c>
      <c r="M33" s="74" t="s">
        <v>86</v>
      </c>
      <c r="N33" s="74" t="s">
        <v>144</v>
      </c>
    </row>
    <row r="34" customFormat="false" ht="12.75" hidden="false" customHeight="false" outlineLevel="0" collapsed="false">
      <c r="J34" s="75" t="n">
        <f aca="false">SUM(E12:E22)</f>
        <v>4230513.12</v>
      </c>
      <c r="K34" s="74" t="n">
        <f aca="false">+E29</f>
        <v>89</v>
      </c>
      <c r="L34" s="74" t="n">
        <f aca="false">+J34/K34</f>
        <v>47533.8552808989</v>
      </c>
      <c r="M34" s="74" t="n">
        <f aca="false">+M11</f>
        <v>3</v>
      </c>
      <c r="N34" s="74" t="n">
        <f aca="false">+L34*M34</f>
        <v>142601.565842697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false" hidden="true" outlineLevel="0" max="43" min="17" style="0" width="9.06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284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Q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Q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f aca="false">L28-H10</f>
        <v>475200</v>
      </c>
      <c r="I8" s="52" t="s">
        <v>96</v>
      </c>
      <c r="J8" s="43" t="n">
        <v>0</v>
      </c>
      <c r="L8" s="53" t="n">
        <f aca="false">L30</f>
        <v>570240</v>
      </c>
      <c r="Q8" s="58" t="n">
        <f aca="false">+H8/$H$29*$Q$29</f>
        <v>158400</v>
      </c>
    </row>
    <row r="9" customFormat="false" ht="12.75" hidden="true" customHeight="false" outlineLevel="0" collapsed="false">
      <c r="A9" s="56"/>
      <c r="B9" s="57" t="s">
        <v>97</v>
      </c>
      <c r="C9" s="58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8" t="n">
        <v>0</v>
      </c>
      <c r="G9" s="59" t="n">
        <f aca="false">E9/$E$23</f>
        <v>0</v>
      </c>
      <c r="H9" s="58" t="n">
        <v>0</v>
      </c>
      <c r="I9" s="52"/>
      <c r="L9" s="53"/>
      <c r="Q9" s="58" t="n">
        <f aca="false">+H9/$H$29*$Q$29</f>
        <v>0</v>
      </c>
    </row>
    <row r="10" customFormat="false" ht="12.75" hidden="false" customHeight="false" outlineLevel="0" collapsed="false">
      <c r="A10" s="56"/>
      <c r="B10" s="57" t="s">
        <v>98</v>
      </c>
      <c r="C10" s="58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8"/>
      <c r="E10" s="58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9" t="n">
        <f aca="false">E10/$E$23</f>
        <v>0.00377976191391553</v>
      </c>
      <c r="H10" s="58" t="n">
        <f aca="false">L21+L22</f>
        <v>0</v>
      </c>
      <c r="I10" s="52"/>
      <c r="L10" s="53"/>
      <c r="Q10" s="58" t="n">
        <f aca="false">+H10/$H$29*$Q$29</f>
        <v>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L30-L28</f>
        <v>95040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3</v>
      </c>
      <c r="L11" s="53" t="n">
        <f aca="false">J11*K11</f>
        <v>144810.54375</v>
      </c>
      <c r="Q11" s="58" t="n">
        <f aca="false">+H11/$H$29*$Q$29</f>
        <v>31680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f aca="false">(E12/$E$29)*$K$11</f>
        <v>18487.42125</v>
      </c>
      <c r="I12" s="52"/>
      <c r="L12" s="53"/>
      <c r="Q12" s="58" t="n">
        <f aca="false">+H12/$H$29*$Q$29</f>
        <v>6162.47375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f aca="false">(E13/$E$29)*$K$11</f>
        <v>16454.87075</v>
      </c>
      <c r="I13" s="63" t="s">
        <v>105</v>
      </c>
      <c r="J13" s="64"/>
      <c r="K13" s="64"/>
      <c r="L13" s="65" t="n">
        <f aca="false">L8+L11</f>
        <v>715050.54375</v>
      </c>
      <c r="N13" s="43" t="n">
        <v>24109311.029375</v>
      </c>
      <c r="P13" s="60" t="n">
        <f aca="false">N13-L13</f>
        <v>23394260.485625</v>
      </c>
      <c r="Q13" s="58" t="n">
        <f aca="false">+H13/$H$29*$Q$29</f>
        <v>5484.95691666667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f aca="false">(E14/$E$29)*$K$11</f>
        <v>0.00600000000049476</v>
      </c>
      <c r="Q14" s="58" t="n">
        <f aca="false">+H14/$H$29*$Q$29</f>
        <v>0.00200000000016492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f aca="false">(E15/$E$29)*$K$11</f>
        <v>2614.075</v>
      </c>
      <c r="Q15" s="58" t="n">
        <f aca="false">+H15/$H$29*$Q$29</f>
        <v>871.358333333333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f aca="false">(E16/$E$29)*$K$11</f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Q16" s="58" t="n">
        <f aca="false">+H16/$H$29*$Q$29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f aca="false">(E17/$E$29)*$K$11</f>
        <v>147.5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Q17" s="58" t="n">
        <f aca="false">+H17/$H$29*$Q$29</f>
        <v>49.1666666666667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f aca="false">(E18/$E$29)*$K$11</f>
        <v>2678.873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Q18" s="58" t="n">
        <f aca="false">+H18/$H$29*$Q$29</f>
        <v>892.957666666667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f aca="false">(E19/$E$29)*$K$11</f>
        <v>2730.258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Q19" s="58" t="n">
        <f aca="false">+H19/$H$29*$Q$29</f>
        <v>910.086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f aca="false">(E20/$E$29)*$K$11</f>
        <v>0.4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Q20" s="58" t="n">
        <f aca="false">+H20/$H$29*$Q$29</f>
        <v>0.133333333333333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f aca="false">(E21/$E$29)*$K$11</f>
        <v>3394.72275</v>
      </c>
      <c r="I21" s="43" t="s">
        <v>127</v>
      </c>
      <c r="J21" s="43" t="n">
        <v>60500</v>
      </c>
      <c r="K21" s="43" t="n">
        <f aca="false">6-5-1</f>
        <v>0</v>
      </c>
      <c r="L21" s="43" t="n">
        <f aca="false">J21*K21</f>
        <v>0</v>
      </c>
      <c r="Q21" s="58" t="n">
        <f aca="false">+H21/$H$29*$Q$29</f>
        <v>1131.57425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f aca="false">(E22/$E$29)*$K$11-98302</f>
        <v>0.417000000044936</v>
      </c>
      <c r="I22" s="43" t="s">
        <v>130</v>
      </c>
      <c r="J22" s="43" t="n">
        <v>89100</v>
      </c>
      <c r="K22" s="43" t="n">
        <v>0</v>
      </c>
      <c r="L22" s="43" t="n">
        <f aca="false">J22*K22</f>
        <v>0</v>
      </c>
      <c r="Q22" s="58" t="n">
        <f aca="false">+H22/$H$29*$Q$29</f>
        <v>0.139000000014979</v>
      </c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616748.54375</v>
      </c>
      <c r="I23" s="43" t="s">
        <v>133</v>
      </c>
      <c r="J23" s="43" t="n">
        <v>110000</v>
      </c>
      <c r="K23" s="43" t="n">
        <v>1</v>
      </c>
      <c r="L23" s="43" t="n">
        <f aca="false">J23*K23</f>
        <v>110000</v>
      </c>
      <c r="Q23" s="68" t="n">
        <f aca="false">SUM(Q8:Q22)</f>
        <v>205582.847916667</v>
      </c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2</v>
      </c>
      <c r="L24" s="43" t="n">
        <f aca="false">J24*K24</f>
        <v>286000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1" t="n">
        <f aca="false">+K16+K17+K18+K19+K20+K23+K24+K25+K26+K27</f>
        <v>3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Q25" s="71" t="n">
        <v>1</v>
      </c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0</v>
      </c>
      <c r="L26" s="43" t="n">
        <f aca="false">J26*K26</f>
        <v>0</v>
      </c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1" t="n">
        <f aca="false">+K21+K22</f>
        <v>0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Q27" s="71" t="n">
        <f aca="false">+T21+T22</f>
        <v>0</v>
      </c>
    </row>
    <row r="28" customFormat="false" ht="12.75" hidden="false" customHeight="false" outlineLevel="0" collapsed="false">
      <c r="K28" s="43" t="n">
        <f aca="false">SUM(K16:K27)</f>
        <v>3</v>
      </c>
      <c r="L28" s="43" t="n">
        <f aca="false">SUM(L16:L27)*1.2</f>
        <v>475200</v>
      </c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3</v>
      </c>
      <c r="L29" s="72" t="n">
        <v>0.2</v>
      </c>
      <c r="Q29" s="71" t="n">
        <f aca="false">SUM(Q25:Q27)</f>
        <v>1</v>
      </c>
    </row>
    <row r="30" customFormat="false" ht="12.75" hidden="true" customHeight="false" outlineLevel="0" collapsed="false">
      <c r="L30" s="43" t="n">
        <f aca="false">L28*1.2</f>
        <v>570240</v>
      </c>
    </row>
    <row r="31" customFormat="false" ht="12.75" hidden="true" customHeight="false" outlineLevel="0" collapsed="false">
      <c r="H31" s="16" t="s">
        <v>140</v>
      </c>
      <c r="L31" s="0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3</v>
      </c>
      <c r="L34" s="74" t="n">
        <f aca="false">+J34*K34</f>
        <v>144810.54375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false" hidden="true" outlineLevel="0" max="12" min="12" style="0" width="9.06"/>
    <col collapsed="false" customWidth="true" hidden="true" outlineLevel="0" max="13" min="13" style="0" width="13.99"/>
    <col collapsed="false" customWidth="true" hidden="false" outlineLevel="0" max="14" min="14" style="0" width="10.85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customFormat="false" ht="18" hidden="false" customHeight="false" outlineLevel="0" collapsed="false">
      <c r="B2" s="44" t="s">
        <v>285</v>
      </c>
      <c r="C2" s="44"/>
      <c r="D2" s="44"/>
      <c r="E2" s="44"/>
      <c r="F2" s="44"/>
      <c r="G2" s="44"/>
      <c r="H2" s="44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customFormat="false" ht="12.75" hidden="false" customHeight="false" outlineLevel="0" collapsed="false">
      <c r="J4" s="79"/>
      <c r="K4" s="80"/>
      <c r="L4" s="80"/>
      <c r="M4" s="81"/>
    </row>
    <row r="5" customFormat="false" ht="12.75" hidden="false" customHeight="false" outlineLevel="0" collapsed="false">
      <c r="J5" s="82"/>
      <c r="K5" s="21" t="s">
        <v>85</v>
      </c>
      <c r="L5" s="21" t="s">
        <v>86</v>
      </c>
      <c r="M5" s="8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F6" s="54" t="s">
        <v>90</v>
      </c>
      <c r="H6" s="84" t="s">
        <v>89</v>
      </c>
      <c r="J6" s="82"/>
      <c r="K6" s="21"/>
      <c r="L6" s="21"/>
      <c r="M6" s="83"/>
      <c r="N6" s="54" t="s">
        <v>90</v>
      </c>
    </row>
    <row r="7" customFormat="false" ht="12.75" hidden="false" customHeight="false" outlineLevel="0" collapsed="false">
      <c r="C7" s="55" t="s">
        <v>91</v>
      </c>
      <c r="E7" s="55" t="s">
        <v>92</v>
      </c>
      <c r="F7" s="55" t="s">
        <v>94</v>
      </c>
      <c r="H7" s="84" t="s">
        <v>93</v>
      </c>
      <c r="J7" s="82"/>
      <c r="K7" s="21"/>
      <c r="L7" s="21"/>
      <c r="M7" s="83"/>
      <c r="N7" s="55" t="s">
        <v>94</v>
      </c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58" t="n">
        <f aca="false">(C8/9)*12</f>
        <v>8854366.4</v>
      </c>
      <c r="F8" s="58" t="n">
        <f aca="false">M16+M17+M18+M19+M20+M23+M24+M26</f>
        <v>432000</v>
      </c>
      <c r="H8" s="85" t="n">
        <f aca="false">E8/$E$23</f>
        <v>0.43476545989392</v>
      </c>
      <c r="J8" s="82" t="s">
        <v>96</v>
      </c>
      <c r="K8" s="43" t="n">
        <v>0</v>
      </c>
      <c r="L8" s="21"/>
      <c r="M8" s="86" t="n">
        <f aca="false">M28*1.2</f>
        <v>676800</v>
      </c>
      <c r="N8" s="58" t="n">
        <f aca="false">+F8/$F$29*$N$29</f>
        <v>72000</v>
      </c>
    </row>
    <row r="9" customFormat="false" ht="12.75" hidden="false" customHeight="false" outlineLevel="0" collapsed="false">
      <c r="A9" s="56"/>
      <c r="B9" s="57" t="s">
        <v>97</v>
      </c>
      <c r="C9" s="58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58" t="n">
        <f aca="false">C9</f>
        <v>1460000</v>
      </c>
      <c r="F9" s="58"/>
      <c r="H9" s="85" t="n">
        <f aca="false">E9/$E$23</f>
        <v>0.0716886497316311</v>
      </c>
      <c r="J9" s="82"/>
      <c r="K9" s="21"/>
      <c r="L9" s="21"/>
      <c r="M9" s="83"/>
      <c r="N9" s="58" t="n">
        <f aca="false">+F9/$F$29*$N$29</f>
        <v>0</v>
      </c>
    </row>
    <row r="10" customFormat="false" ht="12.75" hidden="false" customHeight="false" outlineLevel="0" collapsed="false">
      <c r="A10" s="56"/>
      <c r="B10" s="57" t="s">
        <v>176</v>
      </c>
      <c r="C10" s="58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58" t="n">
        <f aca="false">(C10/9)*12</f>
        <v>3536680</v>
      </c>
      <c r="F10" s="58" t="n">
        <f aca="false">M21+M22</f>
        <v>132000</v>
      </c>
      <c r="H10" s="85" t="n">
        <f aca="false">E10/$E$23</f>
        <v>0.173657406666346</v>
      </c>
      <c r="J10" s="82"/>
      <c r="K10" s="21"/>
      <c r="L10" s="21"/>
      <c r="M10" s="83"/>
      <c r="N10" s="58" t="n">
        <f aca="false">+F10/$F$29*$N$29</f>
        <v>22000</v>
      </c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58" t="n">
        <f aca="false">(C11/9)*12</f>
        <v>2048457.94666667</v>
      </c>
      <c r="F11" s="58" t="n">
        <f aca="false">M28*0.2</f>
        <v>112800</v>
      </c>
      <c r="H11" s="85" t="n">
        <f aca="false">E11/$E$23</f>
        <v>0.100583002896276</v>
      </c>
      <c r="J11" s="82" t="s">
        <v>67</v>
      </c>
      <c r="K11" s="43" t="n">
        <f aca="false">(E12+E13+E14+E15+E16+E17+E18+E19+E20+E21+E22)/E29</f>
        <v>31676.1819007092</v>
      </c>
      <c r="L11" s="21" t="n">
        <f aca="false">L28</f>
        <v>6</v>
      </c>
      <c r="M11" s="86" t="n">
        <f aca="false">K11*L11</f>
        <v>190057.091404255</v>
      </c>
      <c r="N11" s="58" t="n">
        <f aca="false">+F11/$F$29*$N$29</f>
        <v>18800</v>
      </c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2" t="n">
        <f aca="false">(C12/9)*12*1.2</f>
        <v>890331.52</v>
      </c>
      <c r="F12" s="58" t="n">
        <f aca="false">E12/$E$29*$L$11</f>
        <v>37886.4476595745</v>
      </c>
      <c r="H12" s="85" t="n">
        <f aca="false">E12/$E$23</f>
        <v>0.0437168934810347</v>
      </c>
      <c r="J12" s="82"/>
      <c r="K12" s="21"/>
      <c r="L12" s="21"/>
      <c r="M12" s="83"/>
      <c r="N12" s="58" t="n">
        <f aca="false">+F12/$F$29*$N$29</f>
        <v>6314.40794326241</v>
      </c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2" t="n">
        <f aca="false">(C13/9)*12*1.2</f>
        <v>1622984.656</v>
      </c>
      <c r="F13" s="58" t="n">
        <f aca="false">E13/$E$29*$L$11</f>
        <v>69063.1768510638</v>
      </c>
      <c r="H13" s="85" t="n">
        <f aca="false">E13/$E$23</f>
        <v>0.0796914921395861</v>
      </c>
      <c r="J13" s="87" t="s">
        <v>105</v>
      </c>
      <c r="K13" s="88"/>
      <c r="L13" s="88"/>
      <c r="M13" s="89" t="n">
        <f aca="false">M8+M11</f>
        <v>866857.091404255</v>
      </c>
      <c r="N13" s="58" t="n">
        <f aca="false">+F13/$F$29*$N$29</f>
        <v>11510.5294751773</v>
      </c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2" t="n">
        <f aca="false">(C14/9)*12*1.2</f>
        <v>0.608000000193715</v>
      </c>
      <c r="F14" s="58" t="n">
        <f aca="false">E14/$E$29*$L$11</f>
        <v>0.0258723404337751</v>
      </c>
      <c r="H14" s="85" t="n">
        <f aca="false">E14/$E$23</f>
        <v>2.98539034593965E-008</v>
      </c>
      <c r="N14" s="58" t="n">
        <f aca="false">+F14/$F$29*$N$29</f>
        <v>0.00431205673896252</v>
      </c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2" t="n">
        <f aca="false">(C15/9)*12*1.2</f>
        <v>149163.408</v>
      </c>
      <c r="F15" s="58" t="n">
        <f aca="false">E15/$E$29*$L$11</f>
        <v>6347.37906382979</v>
      </c>
      <c r="H15" s="85" t="n">
        <f aca="false">E15/$E$23</f>
        <v>0.00732419404718382</v>
      </c>
      <c r="K15" s="43"/>
      <c r="N15" s="58" t="n">
        <f aca="false">+F15/$F$29*$N$29</f>
        <v>1057.8965106383</v>
      </c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2" t="n">
        <f aca="false">(C16/9)*12*1.2</f>
        <v>0</v>
      </c>
      <c r="F16" s="58" t="n">
        <f aca="false">E16/$E$29*$L$11</f>
        <v>0</v>
      </c>
      <c r="H16" s="85" t="n">
        <f aca="false">E16/$E$23</f>
        <v>0</v>
      </c>
      <c r="J16" s="0" t="s">
        <v>177</v>
      </c>
      <c r="K16" s="43" t="n">
        <v>33600</v>
      </c>
      <c r="L16" s="0" t="n">
        <f aca="false">'[5]Ercot Trading'!K16+'[5]Ercot Origination'!K16+'[5]Southeast Trading'!K16+'[5]Southeast Origination'!K16+'[5]Midwest Trading'!K16+'[5]Midwest Origination'!K16+'[5]Northeast Trading'!K16+'[5]Northeast Origination'!K16+'[5]Management Book'!K16+[5]Structuring_Fund!K16+[5]Services!K16+[5]Options!K16</f>
        <v>0</v>
      </c>
      <c r="M16" s="43" t="n">
        <f aca="false">K16*L16</f>
        <v>0</v>
      </c>
      <c r="N16" s="58" t="n">
        <f aca="false">+F16/$F$29*$N$29</f>
        <v>0</v>
      </c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2" t="n">
        <f aca="false">(C17/9)*12*1.2</f>
        <v>8480</v>
      </c>
      <c r="F17" s="58" t="n">
        <f aca="false">E17/$E$29*$L$11</f>
        <v>360.851063829787</v>
      </c>
      <c r="H17" s="85" t="n">
        <f aca="false">E17/$E$23</f>
        <v>0.000416383390222076</v>
      </c>
      <c r="J17" s="0" t="s">
        <v>115</v>
      </c>
      <c r="K17" s="43" t="n">
        <v>52800</v>
      </c>
      <c r="L17" s="0" t="n">
        <f aca="false">'[5]Ercot Trading'!K17+'[5]Ercot Origination'!K17+'[5]Southeast Trading'!K17+'[5]Southeast Origination'!K17+'[5]Midwest Trading'!K17+'[5]Midwest Origination'!K17+'[5]Northeast Trading'!K17+'[5]Northeast Origination'!K17+'[5]Management Book'!K17+[5]Structuring_Fund!K17+[5]Services!K17+[5]Options!K17</f>
        <v>0</v>
      </c>
      <c r="M17" s="43" t="n">
        <f aca="false">K17*L17</f>
        <v>0</v>
      </c>
      <c r="N17" s="58" t="n">
        <f aca="false">+F17/$F$29*$N$29</f>
        <v>60.1418439716312</v>
      </c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2" t="n">
        <f aca="false">(C18/9)*12*1.2</f>
        <v>459.663999999995</v>
      </c>
      <c r="F18" s="58" t="n">
        <f aca="false">E18/$E$29*$L$11</f>
        <v>19.5601702127657</v>
      </c>
      <c r="H18" s="85" t="n">
        <f aca="false">E18/$E$23</f>
        <v>2.25703366371507E-005</v>
      </c>
      <c r="J18" s="0" t="s">
        <v>118</v>
      </c>
      <c r="K18" s="43" t="n">
        <v>54000</v>
      </c>
      <c r="L18" s="0" t="n">
        <f aca="false">'[5]Ercot Trading'!K18+'[5]Ercot Origination'!K18+'[5]Southeast Trading'!K18+'[5]Southeast Origination'!K18+'[5]Midwest Trading'!K18+'[5]Midwest Origination'!K18+'[5]Northeast Trading'!K18+'[5]Northeast Origination'!K18+'[5]Management Book'!K18+[5]Structuring_Fund!K18+[5]Services!K18+[5]Options!K18</f>
        <v>0</v>
      </c>
      <c r="M18" s="43" t="n">
        <f aca="false">K18*L18</f>
        <v>0</v>
      </c>
      <c r="N18" s="58" t="n">
        <f aca="false">+F18/$F$29*$N$29</f>
        <v>3.26002836879429</v>
      </c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2" t="n">
        <f aca="false">(C19/9)*12*1.2</f>
        <v>779438.72</v>
      </c>
      <c r="F19" s="58" t="n">
        <f aca="false">E19/$E$29*$L$11</f>
        <v>33167.605106383</v>
      </c>
      <c r="H19" s="85" t="n">
        <f aca="false">E19/$E$23</f>
        <v>0.038271855743391</v>
      </c>
      <c r="J19" s="0" t="s">
        <v>121</v>
      </c>
      <c r="K19" s="43" t="n">
        <v>63000</v>
      </c>
      <c r="L19" s="0" t="n">
        <f aca="false">'[5]Ercot Trading'!K19+'[5]Ercot Origination'!K19+'[5]Southeast Trading'!K19+'[5]Southeast Origination'!K19+'[5]Midwest Trading'!K19+'[5]Midwest Origination'!K19+'[5]Northeast Trading'!K19+'[5]Northeast Origination'!K19+'[5]Management Book'!K19+[5]Structuring_Fund!K19+[5]Services!K19+[5]Options!K19</f>
        <v>0</v>
      </c>
      <c r="M19" s="43" t="n">
        <f aca="false">K19*L19</f>
        <v>0</v>
      </c>
      <c r="N19" s="58" t="n">
        <f aca="false">+F19/$F$29*$N$29</f>
        <v>5527.93418439716</v>
      </c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2" t="n">
        <f aca="false">(C20/9)*12*1.2</f>
        <v>125.088</v>
      </c>
      <c r="F20" s="58" t="n">
        <f aca="false">E20/$E$29*$L$11</f>
        <v>5.32289361702128</v>
      </c>
      <c r="H20" s="85" t="n">
        <f aca="false">E20/$E$23</f>
        <v>6.1420478202947E-006</v>
      </c>
      <c r="J20" s="0" t="s">
        <v>124</v>
      </c>
      <c r="K20" s="43" t="n">
        <v>78000</v>
      </c>
      <c r="L20" s="0" t="n">
        <f aca="false">3-1</f>
        <v>2</v>
      </c>
      <c r="M20" s="43" t="n">
        <f aca="false">K20*L20</f>
        <v>156000</v>
      </c>
      <c r="N20" s="58" t="n">
        <f aca="false">+F20/$F$29*$N$29</f>
        <v>0.887148936170213</v>
      </c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2" t="n">
        <f aca="false">(C21/9)*12*1.2</f>
        <v>1013453.6</v>
      </c>
      <c r="F21" s="58" t="n">
        <f aca="false">E21/$E$29*$L$11</f>
        <v>43125.685106383</v>
      </c>
      <c r="H21" s="85" t="n">
        <f aca="false">E21/$E$23</f>
        <v>0.0497624110614113</v>
      </c>
      <c r="J21" s="0" t="s">
        <v>127</v>
      </c>
      <c r="K21" s="43" t="n">
        <v>66000</v>
      </c>
      <c r="L21" s="0" t="n">
        <f aca="false">3-1</f>
        <v>2</v>
      </c>
      <c r="M21" s="43" t="n">
        <f aca="false">K21*L21</f>
        <v>132000</v>
      </c>
      <c r="N21" s="58" t="n">
        <f aca="false">+F21/$F$29*$N$29</f>
        <v>7187.61418439716</v>
      </c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2" t="n">
        <f aca="false">(C22/9)*12*1.2</f>
        <v>1904.384</v>
      </c>
      <c r="F22" s="58" t="n">
        <f aca="false">E22/$E$29*$L$11</f>
        <v>81.0376170212766</v>
      </c>
      <c r="H22" s="85" t="n">
        <f aca="false">E22/$E$23</f>
        <v>9.35087106373442E-005</v>
      </c>
      <c r="J22" s="0" t="s">
        <v>130</v>
      </c>
      <c r="K22" s="43" t="n">
        <v>97200</v>
      </c>
      <c r="L22" s="0" t="n">
        <f aca="false">3-3</f>
        <v>0</v>
      </c>
      <c r="M22" s="43" t="n">
        <f aca="false">K22*L22</f>
        <v>0</v>
      </c>
      <c r="N22" s="58" t="n">
        <f aca="false">+F22/$F$29*$N$29</f>
        <v>13.5062695035461</v>
      </c>
    </row>
    <row r="23" customFormat="false" ht="13.5" hidden="false" customHeight="false" outlineLevel="0" collapsed="false">
      <c r="A23" s="66" t="s">
        <v>131</v>
      </c>
      <c r="B23" s="67" t="s">
        <v>132</v>
      </c>
      <c r="C23" s="68" t="n">
        <f aca="false">SUM(C8:C22)</f>
        <v>15081091.79</v>
      </c>
      <c r="E23" s="68" t="n">
        <f aca="false">SUM(E8:E22)</f>
        <v>20365845.9946667</v>
      </c>
      <c r="F23" s="90" t="n">
        <f aca="false">SUM(F8:F22)</f>
        <v>866857.091404255</v>
      </c>
      <c r="H23" s="91" t="n">
        <f aca="false">SUM(H8:H22)</f>
        <v>1</v>
      </c>
      <c r="J23" s="0" t="s">
        <v>133</v>
      </c>
      <c r="K23" s="43" t="n">
        <v>120000</v>
      </c>
      <c r="L23" s="0" t="n">
        <f aca="false">3-2</f>
        <v>1</v>
      </c>
      <c r="M23" s="43" t="n">
        <f aca="false">K23*L23</f>
        <v>120000</v>
      </c>
      <c r="N23" s="90" t="n">
        <f aca="false">SUM(N8:N22)</f>
        <v>144476.181900709</v>
      </c>
    </row>
    <row r="24" customFormat="false" ht="12.75" hidden="false" customHeight="false" outlineLevel="0" collapsed="false">
      <c r="J24" s="0" t="s">
        <v>134</v>
      </c>
      <c r="K24" s="43" t="n">
        <v>156000</v>
      </c>
      <c r="L24" s="0" t="n">
        <v>1</v>
      </c>
      <c r="M24" s="43" t="n">
        <f aca="false">K24*L24</f>
        <v>156000</v>
      </c>
    </row>
    <row r="25" customFormat="false" ht="12.75" hidden="false" customHeight="false" outlineLevel="0" collapsed="false">
      <c r="B25" s="67" t="s">
        <v>9</v>
      </c>
      <c r="C25" s="58"/>
      <c r="E25" s="71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1" t="n">
        <f aca="false">SUM(L16:L20,L23:L27)</f>
        <v>4</v>
      </c>
      <c r="J25" s="0" t="s">
        <v>135</v>
      </c>
      <c r="K25" s="43" t="n">
        <v>180000</v>
      </c>
      <c r="L25" s="0" t="n">
        <f aca="false">'[5]Ercot Trading'!K25+'[5]Ercot Origination'!K25+'[5]Southeast Trading'!K25+'[5]Southeast Origination'!K25+'[5]Midwest Trading'!K25+'[5]Midwest Origination'!K25+'[5]Northeast Trading'!K25+'[5]Northeast Origination'!K25+'[5]Management Book'!K25+[5]Structuring_Fund!K25+[5]Services!K25+[5]Options!K25</f>
        <v>0</v>
      </c>
      <c r="M25" s="43" t="n">
        <f aca="false">K25*L25</f>
        <v>0</v>
      </c>
      <c r="N25" s="71" t="n">
        <v>1</v>
      </c>
    </row>
    <row r="26" customFormat="false" ht="12.75" hidden="false" customHeight="false" outlineLevel="0" collapsed="false">
      <c r="C26" s="58"/>
      <c r="E26" s="58"/>
      <c r="F26" s="58"/>
      <c r="J26" s="0" t="s">
        <v>136</v>
      </c>
      <c r="K26" s="43" t="n">
        <v>216000</v>
      </c>
      <c r="L26" s="0" t="n">
        <f aca="false">'[5]Ercot Trading'!K26+'[5]Ercot Origination'!K26+'[5]Southeast Trading'!K26+'[5]Southeast Origination'!K26+'[5]Midwest Trading'!K26+'[5]Midwest Origination'!K26+'[5]Northeast Trading'!K26+'[5]Northeast Origination'!K26+'[5]Management Book'!K26+[5]Structuring_Fund!K26+[5]Services!K26+[5]Options!K26</f>
        <v>0</v>
      </c>
      <c r="M26" s="43" t="n">
        <f aca="false">K26*L26</f>
        <v>0</v>
      </c>
      <c r="N26" s="58"/>
    </row>
    <row r="27" customFormat="false" ht="12.75" hidden="false" customHeight="false" outlineLevel="0" collapsed="false">
      <c r="B27" s="67" t="s">
        <v>178</v>
      </c>
      <c r="C27" s="58"/>
      <c r="E27" s="71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1" t="n">
        <f aca="false">SUM(L21:L22)</f>
        <v>2</v>
      </c>
      <c r="J27" s="0" t="s">
        <v>138</v>
      </c>
      <c r="K27" s="43" t="n">
        <v>240000</v>
      </c>
      <c r="L27" s="0" t="n">
        <f aca="false">'[5]Ercot Trading'!K27+'[5]Ercot Origination'!K27+'[5]Southeast Trading'!K27+'[5]Southeast Origination'!K27+'[5]Midwest Trading'!K27+'[5]Midwest Origination'!K27+'[5]Northeast Trading'!K27+'[5]Northeast Origination'!K27+'[5]Management Book'!K27+[5]Structuring_Fund!K27+[5]Services!K27+[5]Options!K27</f>
        <v>0</v>
      </c>
      <c r="M27" s="43" t="n">
        <f aca="false">K27*L27</f>
        <v>0</v>
      </c>
      <c r="N27" s="71" t="n">
        <f aca="false">SUM(T21:T22)</f>
        <v>0</v>
      </c>
    </row>
    <row r="28" customFormat="false" ht="12.75" hidden="false" customHeight="false" outlineLevel="0" collapsed="false">
      <c r="B28" s="67"/>
      <c r="L28" s="0" t="n">
        <f aca="false">SUM(L16:L27)</f>
        <v>6</v>
      </c>
      <c r="M28" s="43" t="n">
        <f aca="false">SUM(M16:M27)</f>
        <v>564000</v>
      </c>
    </row>
    <row r="29" customFormat="false" ht="12.75" hidden="false" customHeight="false" outlineLevel="0" collapsed="false">
      <c r="B29" s="67" t="s">
        <v>139</v>
      </c>
      <c r="E29" s="92" t="n">
        <f aca="false">SUM(E25:E27)</f>
        <v>141</v>
      </c>
      <c r="F29" s="92" t="n">
        <f aca="false">SUM(F25:F27)</f>
        <v>6</v>
      </c>
      <c r="H29" s="43"/>
      <c r="N29" s="92" t="n">
        <f aca="false">SUM(N25:N27)</f>
        <v>1</v>
      </c>
    </row>
    <row r="31" customFormat="false" ht="12.75" hidden="false" customHeight="false" outlineLevel="0" collapsed="false">
      <c r="I31" s="16" t="s">
        <v>140</v>
      </c>
      <c r="J31" s="43"/>
      <c r="K31" s="43"/>
      <c r="L31" s="43"/>
    </row>
    <row r="32" customFormat="false" ht="12.75" hidden="true" customHeight="false" outlineLevel="0" collapsed="false">
      <c r="B32" s="57" t="s">
        <v>107</v>
      </c>
      <c r="C32" s="58" t="n">
        <v>524067</v>
      </c>
      <c r="J32" s="43"/>
      <c r="K32" s="43"/>
      <c r="L32" s="43"/>
    </row>
    <row r="33" customFormat="false" ht="12.75" hidden="false" customHeight="false" outlineLevel="0" collapsed="false">
      <c r="I33" s="73" t="s">
        <v>141</v>
      </c>
      <c r="J33" s="74" t="s">
        <v>142</v>
      </c>
      <c r="K33" s="74" t="s">
        <v>143</v>
      </c>
      <c r="L33" s="74" t="s">
        <v>86</v>
      </c>
      <c r="M33" s="74" t="s">
        <v>144</v>
      </c>
    </row>
    <row r="34" customFormat="false" ht="12.75" hidden="false" customHeight="false" outlineLevel="0" collapsed="false">
      <c r="I34" s="75" t="n">
        <f aca="false">SUM(E12:E22)</f>
        <v>4466341.648</v>
      </c>
      <c r="J34" s="74" t="n">
        <f aca="false">+E29</f>
        <v>141</v>
      </c>
      <c r="K34" s="74" t="n">
        <f aca="false">+I34/J34</f>
        <v>31676.1819007092</v>
      </c>
      <c r="L34" s="74" t="n">
        <f aca="false">+L11</f>
        <v>6</v>
      </c>
      <c r="M34" s="74" t="n">
        <f aca="false">+K34*L34</f>
        <v>190057.091404255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41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false" hidden="true" outlineLevel="0" max="13" min="13" style="0" width="9.06"/>
    <col collapsed="false" customWidth="true" hidden="true" outlineLevel="0" max="14" min="14" style="0" width="16.84"/>
    <col collapsed="false" customWidth="true" hidden="true" outlineLevel="0" max="15" min="15" style="0" width="15.85"/>
    <col collapsed="false" customWidth="true" hidden="true" outlineLevel="0" max="16" min="16" style="0" width="13.99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149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Q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Q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f aca="false">L28-H10+17820</f>
        <v>1037520</v>
      </c>
      <c r="I8" s="52" t="s">
        <v>96</v>
      </c>
      <c r="J8" s="43" t="n">
        <v>0</v>
      </c>
      <c r="L8" s="53" t="n">
        <f aca="false">L30</f>
        <v>1223640</v>
      </c>
      <c r="Q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8" t="n">
        <v>0</v>
      </c>
      <c r="G9" s="59" t="n">
        <f aca="false">E9/$E$23</f>
        <v>0</v>
      </c>
      <c r="H9" s="58" t="n">
        <v>0</v>
      </c>
      <c r="I9" s="52"/>
      <c r="L9" s="53"/>
      <c r="Q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8"/>
      <c r="E10" s="58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9" t="n">
        <f aca="false">E10/$E$23</f>
        <v>0.00377976191391553</v>
      </c>
      <c r="H10" s="58" t="n">
        <f aca="false">L21+L22</f>
        <v>0</v>
      </c>
      <c r="I10" s="52"/>
      <c r="L10" s="53"/>
      <c r="Q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f aca="false">L30-L28+3564</f>
        <v>207504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6</v>
      </c>
      <c r="L11" s="53" t="n">
        <f aca="false">J11*K11</f>
        <v>289621.0875</v>
      </c>
      <c r="N11" s="61" t="s">
        <v>150</v>
      </c>
      <c r="O11" s="61" t="s">
        <v>151</v>
      </c>
      <c r="P11" s="61" t="s">
        <v>152</v>
      </c>
      <c r="Q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f aca="false">(E12/$E$29)*$K$11</f>
        <v>36974.8425</v>
      </c>
      <c r="I12" s="52"/>
      <c r="L12" s="53"/>
      <c r="N12" s="61" t="s">
        <v>153</v>
      </c>
      <c r="O12" s="61" t="s">
        <v>154</v>
      </c>
      <c r="P12" s="61" t="s">
        <v>152</v>
      </c>
      <c r="Q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f aca="false">(E13/$E$29)*$K$11</f>
        <v>32909.7415</v>
      </c>
      <c r="I13" s="63" t="s">
        <v>105</v>
      </c>
      <c r="J13" s="64"/>
      <c r="K13" s="64"/>
      <c r="L13" s="65" t="n">
        <f aca="false">L8+L11</f>
        <v>1513261.0875</v>
      </c>
      <c r="N13" s="61" t="s">
        <v>155</v>
      </c>
      <c r="O13" s="61" t="s">
        <v>154</v>
      </c>
      <c r="P13" s="61" t="s">
        <v>152</v>
      </c>
      <c r="Q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f aca="false">(E14/$E$29)*$K$11</f>
        <v>0.0120000000009895</v>
      </c>
      <c r="N14" s="61" t="s">
        <v>156</v>
      </c>
      <c r="O14" s="61" t="s">
        <v>157</v>
      </c>
      <c r="P14" s="61" t="s">
        <v>152</v>
      </c>
      <c r="Q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f aca="false">(E15/$E$29)*$K$11</f>
        <v>5228.15</v>
      </c>
      <c r="N15" s="61" t="s">
        <v>158</v>
      </c>
      <c r="O15" s="61" t="s">
        <v>159</v>
      </c>
      <c r="P15" s="61" t="s">
        <v>152</v>
      </c>
      <c r="Q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f aca="false">(E16/$E$29)*$K$11</f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N16" s="61" t="s">
        <v>160</v>
      </c>
      <c r="O16" s="61" t="s">
        <v>159</v>
      </c>
      <c r="P16" s="61" t="s">
        <v>152</v>
      </c>
      <c r="Q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f aca="false">(E17/$E$29)*$K$11</f>
        <v>295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N17" s="77" t="s">
        <v>161</v>
      </c>
      <c r="O17" s="77" t="s">
        <v>121</v>
      </c>
      <c r="P17" s="61" t="s">
        <v>152</v>
      </c>
      <c r="Q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f aca="false">(E18/$E$29)*$K$11</f>
        <v>5357.746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Q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f aca="false">(E19/$E$29)*$K$11</f>
        <v>5460.516</v>
      </c>
      <c r="I19" s="43" t="s">
        <v>121</v>
      </c>
      <c r="J19" s="43" t="n">
        <v>57750</v>
      </c>
      <c r="K19" s="43" t="n">
        <v>1</v>
      </c>
      <c r="L19" s="43" t="n">
        <f aca="false">J19*K19</f>
        <v>57750</v>
      </c>
      <c r="Q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f aca="false">(E20/$E$29)*$K$11</f>
        <v>0.8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Q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f aca="false">(E21/$E$29)*$K$11</f>
        <v>6789.44549999999</v>
      </c>
      <c r="I21" s="43" t="s">
        <v>127</v>
      </c>
      <c r="J21" s="43" t="n">
        <v>60500</v>
      </c>
      <c r="K21" s="43" t="n">
        <v>0</v>
      </c>
      <c r="L21" s="43" t="n">
        <f aca="false">J21*K21</f>
        <v>0</v>
      </c>
      <c r="P21" s="21"/>
      <c r="Q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0</v>
      </c>
      <c r="L22" s="43" t="n">
        <f aca="false">J22*K22</f>
        <v>0</v>
      </c>
      <c r="P22" s="21"/>
      <c r="Q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1338040.2535</v>
      </c>
      <c r="I23" s="43" t="s">
        <v>133</v>
      </c>
      <c r="J23" s="43" t="n">
        <v>110000</v>
      </c>
      <c r="K23" s="43" t="n">
        <v>1</v>
      </c>
      <c r="L23" s="43" t="n">
        <f aca="false">J23*K23</f>
        <v>110000</v>
      </c>
      <c r="P23" s="21"/>
      <c r="Q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2</v>
      </c>
      <c r="L24" s="43" t="n">
        <f aca="false">J24*K24</f>
        <v>286000</v>
      </c>
      <c r="P24" s="21"/>
      <c r="Q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1" t="n">
        <f aca="false">+K16+K17+K18+K19+K20+K23+K24+K25+K26+K27</f>
        <v>6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P25" s="21"/>
      <c r="Q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2</v>
      </c>
      <c r="L26" s="43" t="n">
        <f aca="false">J26*K26</f>
        <v>396000</v>
      </c>
      <c r="P26" s="21"/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1" t="n">
        <f aca="false">+K21+K22</f>
        <v>0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P27" s="21"/>
      <c r="Q27" s="58"/>
    </row>
    <row r="28" customFormat="false" ht="12.75" hidden="false" customHeight="false" outlineLevel="0" collapsed="false">
      <c r="K28" s="43" t="n">
        <f aca="false">SUM(K16:K27)</f>
        <v>6</v>
      </c>
      <c r="L28" s="43" t="n">
        <f aca="false">SUM(L16:L27)*1.2</f>
        <v>1019700</v>
      </c>
      <c r="P28" s="21"/>
      <c r="Q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6</v>
      </c>
      <c r="L29" s="72" t="n">
        <v>0.2</v>
      </c>
      <c r="P29" s="21"/>
      <c r="Q29" s="58"/>
    </row>
    <row r="30" customFormat="false" ht="12.75" hidden="true" customHeight="false" outlineLevel="0" collapsed="false">
      <c r="L30" s="43" t="n">
        <f aca="false">L28*1.2</f>
        <v>1223640</v>
      </c>
      <c r="P30" s="21"/>
      <c r="Q30" s="21"/>
    </row>
    <row r="31" customFormat="false" ht="12.75" hidden="true" customHeight="false" outlineLevel="0" collapsed="false">
      <c r="H31" s="16" t="s">
        <v>140</v>
      </c>
      <c r="L31" s="0"/>
      <c r="P31" s="21"/>
      <c r="Q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P32" s="21"/>
      <c r="Q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P33" s="21"/>
      <c r="Q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6</v>
      </c>
      <c r="L34" s="74" t="n">
        <f aca="false">+J34*K34</f>
        <v>289621.0875</v>
      </c>
      <c r="P34" s="21"/>
      <c r="Q34" s="21"/>
    </row>
    <row r="35" customFormat="false" ht="12.75" hidden="true" customHeight="false" outlineLevel="0" collapsed="false">
      <c r="P35" s="21"/>
      <c r="Q35" s="21"/>
    </row>
    <row r="36" customFormat="false" ht="12.75" hidden="true" customHeight="false" outlineLevel="0" collapsed="false">
      <c r="P36" s="21"/>
      <c r="Q36" s="21"/>
    </row>
    <row r="37" customFormat="false" ht="12.75" hidden="true" customHeight="false" outlineLevel="0" collapsed="false">
      <c r="P37" s="21"/>
      <c r="Q37" s="21"/>
    </row>
    <row r="38" customFormat="false" ht="12.75" hidden="true" customHeight="false" outlineLevel="0" collapsed="false">
      <c r="P38" s="21"/>
      <c r="Q38" s="21"/>
    </row>
    <row r="39" customFormat="false" ht="12.75" hidden="false" customHeight="false" outlineLevel="0" collapsed="false">
      <c r="P39" s="21"/>
      <c r="Q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fals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4" t="str">
        <f aca="false">'[1]Team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customFormat="false" ht="18" hidden="false" customHeight="false" outlineLevel="0" collapsed="false">
      <c r="B2" s="44" t="s">
        <v>162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Q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Q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v>573145</v>
      </c>
      <c r="I8" s="52" t="s">
        <v>96</v>
      </c>
      <c r="J8" s="43" t="n">
        <v>0</v>
      </c>
      <c r="L8" s="53" t="n">
        <f aca="false">L30</f>
        <v>839520</v>
      </c>
      <c r="Q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8" t="n">
        <v>0</v>
      </c>
      <c r="G9" s="59" t="n">
        <f aca="false">E9/$E$23</f>
        <v>0</v>
      </c>
      <c r="H9" s="58" t="n">
        <v>0</v>
      </c>
      <c r="I9" s="52"/>
      <c r="L9" s="53"/>
      <c r="Q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8"/>
      <c r="E10" s="58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9" t="n">
        <f aca="false">E10/$E$23</f>
        <v>0.00377976191391553</v>
      </c>
      <c r="H10" s="58" t="n">
        <f aca="false">L21+L22</f>
        <v>0</v>
      </c>
      <c r="I10" s="52"/>
      <c r="L10" s="53"/>
      <c r="Q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v>91502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4</v>
      </c>
      <c r="L11" s="53" t="n">
        <f aca="false">J11*K11</f>
        <v>193080.725</v>
      </c>
      <c r="Q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v>67829</v>
      </c>
      <c r="I12" s="52"/>
      <c r="L12" s="53"/>
      <c r="Q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v>388571</v>
      </c>
      <c r="I13" s="63" t="s">
        <v>105</v>
      </c>
      <c r="J13" s="64"/>
      <c r="K13" s="64"/>
      <c r="L13" s="65" t="n">
        <f aca="false">L8+L11</f>
        <v>1032600.725</v>
      </c>
      <c r="N13" s="43"/>
      <c r="P13" s="60"/>
      <c r="Q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v>40000</v>
      </c>
      <c r="Q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v>109829</v>
      </c>
      <c r="Q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v>8571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Q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v>0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Q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v>0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Q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v>45714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Q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v>0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Q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v>11429</v>
      </c>
      <c r="I21" s="43" t="s">
        <v>127</v>
      </c>
      <c r="J21" s="43" t="n">
        <v>60500</v>
      </c>
      <c r="K21" s="43" t="n">
        <v>0</v>
      </c>
      <c r="L21" s="43" t="n">
        <f aca="false">J21*K21</f>
        <v>0</v>
      </c>
      <c r="P21" s="21"/>
      <c r="Q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0</v>
      </c>
      <c r="L22" s="43" t="n">
        <f aca="false">J22*K22</f>
        <v>0</v>
      </c>
      <c r="P22" s="21"/>
      <c r="Q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1336590</v>
      </c>
      <c r="I23" s="43" t="s">
        <v>133</v>
      </c>
      <c r="J23" s="43" t="n">
        <v>110000</v>
      </c>
      <c r="K23" s="43" t="n">
        <v>2</v>
      </c>
      <c r="L23" s="43" t="n">
        <f aca="false">J23*K23</f>
        <v>220000</v>
      </c>
      <c r="P23" s="21"/>
      <c r="Q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v>1</v>
      </c>
      <c r="L24" s="43" t="n">
        <f aca="false">J24*K24</f>
        <v>143000</v>
      </c>
      <c r="P24" s="21"/>
      <c r="Q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1" t="n">
        <f aca="false">+K16+K17+K18+K19+K20+K23+K24+K25+K26+K27</f>
        <v>4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P25" s="21"/>
      <c r="Q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0</v>
      </c>
      <c r="L26" s="43" t="n">
        <f aca="false">J26*K26</f>
        <v>0</v>
      </c>
      <c r="P26" s="21"/>
      <c r="Q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1" t="n">
        <f aca="false">+K21+K22</f>
        <v>0</v>
      </c>
      <c r="I27" s="43" t="s">
        <v>138</v>
      </c>
      <c r="J27" s="43" t="n">
        <v>220000</v>
      </c>
      <c r="K27" s="43" t="n">
        <v>1</v>
      </c>
      <c r="L27" s="43" t="n">
        <f aca="false">J27*K27</f>
        <v>220000</v>
      </c>
      <c r="P27" s="21"/>
      <c r="Q27" s="58"/>
    </row>
    <row r="28" customFormat="false" ht="12.75" hidden="false" customHeight="false" outlineLevel="0" collapsed="false">
      <c r="K28" s="43" t="n">
        <f aca="false">SUM(K16:K27)</f>
        <v>4</v>
      </c>
      <c r="L28" s="43" t="n">
        <f aca="false">SUM(L16:L27)*1.2</f>
        <v>699600</v>
      </c>
      <c r="P28" s="21"/>
      <c r="Q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4</v>
      </c>
      <c r="L29" s="72" t="n">
        <v>0.2</v>
      </c>
      <c r="P29" s="21"/>
      <c r="Q29" s="58"/>
    </row>
    <row r="30" customFormat="false" ht="12.75" hidden="true" customHeight="false" outlineLevel="0" collapsed="false">
      <c r="L30" s="43" t="n">
        <f aca="false">L28*1.2</f>
        <v>839520</v>
      </c>
      <c r="P30" s="21"/>
      <c r="Q30" s="21"/>
    </row>
    <row r="31" customFormat="false" ht="12.75" hidden="true" customHeight="false" outlineLevel="0" collapsed="false">
      <c r="H31" s="16" t="s">
        <v>140</v>
      </c>
      <c r="L31" s="0"/>
      <c r="P31" s="21"/>
      <c r="Q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P32" s="21"/>
      <c r="Q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P33" s="21"/>
      <c r="Q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4</v>
      </c>
      <c r="L34" s="74" t="n">
        <f aca="false">+J34*K34</f>
        <v>193080.725</v>
      </c>
      <c r="P34" s="21"/>
      <c r="Q34" s="21"/>
    </row>
    <row r="35" customFormat="false" ht="12.75" hidden="true" customHeight="false" outlineLevel="0" collapsed="false">
      <c r="P35" s="21"/>
      <c r="Q35" s="21"/>
    </row>
    <row r="36" customFormat="false" ht="12.75" hidden="true" customHeight="false" outlineLevel="0" collapsed="false">
      <c r="P36" s="21"/>
      <c r="Q36" s="21"/>
    </row>
    <row r="37" customFormat="false" ht="12.75" hidden="true" customHeight="false" outlineLevel="0" collapsed="false">
      <c r="P37" s="21"/>
      <c r="Q37" s="21"/>
    </row>
    <row r="38" customFormat="false" ht="12.75" hidden="true" customHeight="false" outlineLevel="0" collapsed="false">
      <c r="P38" s="21"/>
      <c r="Q38" s="21"/>
    </row>
    <row r="39" customFormat="false" ht="12.75" hidden="false" customHeight="false" outlineLevel="0" collapsed="false">
      <c r="P39" s="21"/>
      <c r="Q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3" width="12.85"/>
    <col collapsed="false" customWidth="true" hidden="true" outlineLevel="0" max="10" min="10" style="43" width="11.28"/>
    <col collapsed="false" customWidth="true" hidden="true" outlineLevel="0" max="11" min="11" style="43" width="9.28"/>
    <col collapsed="false" customWidth="true" hidden="true" outlineLevel="0" max="12" min="12" style="43" width="13.14"/>
    <col collapsed="false" customWidth="true" hidden="false" outlineLevel="0" max="14" min="14" style="0" width="10.71"/>
  </cols>
  <sheetData>
    <row r="1" customFormat="false" ht="18" hidden="false" customHeight="false" outlineLevel="0" collapsed="false">
      <c r="B1" s="44" t="str">
        <f aca="false">'[3]Team Report'!B1</f>
        <v>Enron North America</v>
      </c>
      <c r="C1" s="44"/>
      <c r="D1" s="44"/>
      <c r="E1" s="44"/>
      <c r="F1" s="44"/>
      <c r="G1" s="44"/>
      <c r="H1" s="44"/>
      <c r="I1" s="45"/>
      <c r="J1" s="45"/>
      <c r="K1" s="45"/>
      <c r="L1" s="4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</row>
    <row r="2" customFormat="false" ht="18" hidden="false" customHeight="false" outlineLevel="0" collapsed="false">
      <c r="B2" s="44" t="s">
        <v>163</v>
      </c>
      <c r="C2" s="44"/>
      <c r="D2" s="44"/>
      <c r="E2" s="44"/>
      <c r="F2" s="44"/>
      <c r="G2" s="44"/>
      <c r="H2" s="44"/>
      <c r="I2" s="45"/>
      <c r="J2" s="45"/>
      <c r="K2" s="45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</row>
    <row r="3" customFormat="false" ht="18.75" hidden="false" customHeight="false" outlineLevel="0" collapsed="false">
      <c r="B3" s="47" t="s">
        <v>5</v>
      </c>
      <c r="C3" s="47"/>
      <c r="D3" s="47"/>
      <c r="E3" s="47"/>
      <c r="F3" s="47"/>
      <c r="G3" s="47"/>
      <c r="H3" s="47"/>
      <c r="I3" s="45"/>
      <c r="J3" s="45"/>
      <c r="K3" s="45"/>
      <c r="L3" s="45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</row>
    <row r="4" customFormat="false" ht="12.75" hidden="false" customHeight="false" outlineLevel="0" collapsed="false">
      <c r="I4" s="49"/>
      <c r="J4" s="50"/>
      <c r="K4" s="50"/>
      <c r="L4" s="51"/>
    </row>
    <row r="5" customFormat="false" ht="12.75" hidden="false" customHeight="false" outlineLevel="0" collapsed="false">
      <c r="I5" s="52"/>
      <c r="J5" s="43" t="s">
        <v>85</v>
      </c>
      <c r="K5" s="43" t="s">
        <v>86</v>
      </c>
      <c r="L5" s="53" t="s">
        <v>87</v>
      </c>
    </row>
    <row r="6" customFormat="false" ht="12.75" hidden="false" customHeight="false" outlineLevel="0" collapsed="false">
      <c r="C6" s="54" t="n">
        <v>37135</v>
      </c>
      <c r="E6" s="54" t="s">
        <v>88</v>
      </c>
      <c r="G6" s="54" t="s">
        <v>89</v>
      </c>
      <c r="H6" s="54" t="s">
        <v>90</v>
      </c>
      <c r="I6" s="52"/>
      <c r="L6" s="53"/>
      <c r="N6" s="54"/>
    </row>
    <row r="7" customFormat="false" ht="12.75" hidden="false" customHeight="false" outlineLevel="0" collapsed="false">
      <c r="C7" s="55" t="s">
        <v>91</v>
      </c>
      <c r="E7" s="55" t="s">
        <v>92</v>
      </c>
      <c r="G7" s="55" t="s">
        <v>93</v>
      </c>
      <c r="H7" s="55" t="s">
        <v>94</v>
      </c>
      <c r="I7" s="52"/>
      <c r="L7" s="53"/>
      <c r="N7" s="55"/>
    </row>
    <row r="8" customFormat="false" ht="12.75" hidden="false" customHeight="false" outlineLevel="0" collapsed="false">
      <c r="A8" s="56" t="s">
        <v>95</v>
      </c>
      <c r="B8" s="57" t="s">
        <v>96</v>
      </c>
      <c r="C8" s="58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58" t="n">
        <f aca="false">((C8/9)*12)</f>
        <v>11530476.88</v>
      </c>
      <c r="G8" s="59" t="n">
        <f aca="false">E8/$E$23</f>
        <v>0.528778555954281</v>
      </c>
      <c r="H8" s="58" t="n">
        <v>567600</v>
      </c>
      <c r="I8" s="52" t="s">
        <v>96</v>
      </c>
      <c r="J8" s="43" t="n">
        <v>0</v>
      </c>
      <c r="L8" s="53" t="n">
        <f aca="false">L30</f>
        <v>855360</v>
      </c>
      <c r="N8" s="58"/>
    </row>
    <row r="9" customFormat="false" ht="12.75" hidden="true" customHeight="false" outlineLevel="0" collapsed="false">
      <c r="A9" s="56"/>
      <c r="B9" s="57" t="s">
        <v>97</v>
      </c>
      <c r="C9" s="58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58" t="n">
        <v>0</v>
      </c>
      <c r="G9" s="59" t="n">
        <f aca="false">E9/$E$23</f>
        <v>0</v>
      </c>
      <c r="H9" s="58"/>
      <c r="I9" s="52"/>
      <c r="L9" s="53"/>
      <c r="N9" s="58"/>
    </row>
    <row r="10" customFormat="false" ht="12.75" hidden="false" customHeight="false" outlineLevel="0" collapsed="false">
      <c r="A10" s="56"/>
      <c r="B10" s="57" t="s">
        <v>98</v>
      </c>
      <c r="C10" s="58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58"/>
      <c r="E10" s="58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59" t="n">
        <f aca="false">E10/$E$23</f>
        <v>0.00377976191391553</v>
      </c>
      <c r="H10" s="58" t="n">
        <v>0</v>
      </c>
      <c r="I10" s="52"/>
      <c r="L10" s="53"/>
      <c r="N10" s="58"/>
    </row>
    <row r="11" customFormat="false" ht="12.75" hidden="false" customHeight="false" outlineLevel="0" collapsed="false">
      <c r="A11" s="56" t="s">
        <v>99</v>
      </c>
      <c r="B11" s="57" t="s">
        <v>100</v>
      </c>
      <c r="C11" s="58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58" t="n">
        <f aca="false">((C11/9)*12)</f>
        <v>2469743.93333333</v>
      </c>
      <c r="G11" s="59" t="n">
        <f aca="false">E11/$E$23</f>
        <v>0.113260504681299</v>
      </c>
      <c r="H11" s="58" t="n">
        <v>116920</v>
      </c>
      <c r="I11" s="52" t="s">
        <v>67</v>
      </c>
      <c r="J11" s="43" t="n">
        <f aca="false">(E12+E13+E14+E15+E16+E17+E18+E19+E20+E21+E22)/E29</f>
        <v>48270.18125</v>
      </c>
      <c r="K11" s="43" t="n">
        <f aca="false">K28</f>
        <v>4</v>
      </c>
      <c r="L11" s="53" t="n">
        <f aca="false">J11*K11</f>
        <v>193080.725</v>
      </c>
      <c r="N11" s="58"/>
    </row>
    <row r="12" customFormat="false" ht="12.75" hidden="false" customHeight="false" outlineLevel="0" collapsed="false">
      <c r="A12" s="56" t="s">
        <v>101</v>
      </c>
      <c r="B12" s="57" t="s">
        <v>102</v>
      </c>
      <c r="C12" s="58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2" t="n">
        <f aca="false">((C12/9)*12)-500000</f>
        <v>985995.8</v>
      </c>
      <c r="G12" s="59" t="n">
        <f aca="false">E12/$E$23</f>
        <v>0.0452169880506265</v>
      </c>
      <c r="H12" s="58" t="n">
        <v>30000</v>
      </c>
      <c r="I12" s="52"/>
      <c r="L12" s="53"/>
      <c r="N12" s="58"/>
    </row>
    <row r="13" customFormat="false" ht="13.5" hidden="false" customHeight="false" outlineLevel="0" collapsed="false">
      <c r="A13" s="56" t="s">
        <v>103</v>
      </c>
      <c r="B13" s="57" t="s">
        <v>104</v>
      </c>
      <c r="C13" s="58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2" t="n">
        <f aca="false">((C13/9)*12)-500000-500000</f>
        <v>877593.106666667</v>
      </c>
      <c r="G13" s="59" t="n">
        <f aca="false">E13/$E$23</f>
        <v>0.0402457262165406</v>
      </c>
      <c r="H13" s="58" t="n">
        <v>225000</v>
      </c>
      <c r="I13" s="63" t="s">
        <v>105</v>
      </c>
      <c r="J13" s="64"/>
      <c r="K13" s="64"/>
      <c r="L13" s="65" t="n">
        <f aca="false">L8+L11</f>
        <v>1048440.725</v>
      </c>
      <c r="N13" s="58"/>
    </row>
    <row r="14" customFormat="false" ht="12.75" hidden="false" customHeight="false" outlineLevel="0" collapsed="false">
      <c r="A14" s="56" t="s">
        <v>106</v>
      </c>
      <c r="B14" s="57" t="s">
        <v>107</v>
      </c>
      <c r="C14" s="58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2" t="n">
        <f aca="false">(C14/9)*12</f>
        <v>0.320000000026387</v>
      </c>
      <c r="G14" s="59" t="n">
        <f aca="false">E14/$E$23</f>
        <v>1.46749470711677E-008</v>
      </c>
      <c r="H14" s="58" t="n">
        <v>0</v>
      </c>
      <c r="N14" s="58"/>
    </row>
    <row r="15" customFormat="false" ht="12.75" hidden="false" customHeight="false" outlineLevel="0" collapsed="false">
      <c r="A15" s="56" t="s">
        <v>108</v>
      </c>
      <c r="B15" s="57" t="s">
        <v>109</v>
      </c>
      <c r="C15" s="58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2" t="n">
        <f aca="false">((C15/9)*12)-75000</f>
        <v>139417.333333333</v>
      </c>
      <c r="G15" s="59" t="n">
        <f aca="false">E15/$E$23</f>
        <v>0.00639356871031657</v>
      </c>
      <c r="H15" s="58" t="n">
        <v>20000</v>
      </c>
      <c r="N15" s="58"/>
    </row>
    <row r="16" customFormat="false" ht="12.75" hidden="false" customHeight="false" outlineLevel="0" collapsed="false">
      <c r="A16" s="56" t="s">
        <v>110</v>
      </c>
      <c r="B16" s="57" t="s">
        <v>111</v>
      </c>
      <c r="C16" s="58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2" t="n">
        <f aca="false">(C16/9)*12</f>
        <v>0</v>
      </c>
      <c r="G16" s="59" t="n">
        <f aca="false">E16/$E$23</f>
        <v>0</v>
      </c>
      <c r="H16" s="58" t="n">
        <v>0</v>
      </c>
      <c r="I16" s="43" t="s">
        <v>112</v>
      </c>
      <c r="J16" s="43" t="n">
        <v>33000</v>
      </c>
      <c r="K16" s="43" t="n">
        <f aca="false">1-1</f>
        <v>0</v>
      </c>
      <c r="L16" s="43" t="n">
        <f aca="false">J16*K16</f>
        <v>0</v>
      </c>
      <c r="N16" s="58"/>
    </row>
    <row r="17" customFormat="false" ht="12.75" hidden="false" customHeight="false" outlineLevel="0" collapsed="false">
      <c r="A17" s="56" t="s">
        <v>113</v>
      </c>
      <c r="B17" s="57" t="s">
        <v>114</v>
      </c>
      <c r="C17" s="58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2" t="n">
        <f aca="false">((C17/9)*12)</f>
        <v>7866.66666666667</v>
      </c>
      <c r="G17" s="59" t="n">
        <f aca="false">E17/$E$23</f>
        <v>0.000360759115469791</v>
      </c>
      <c r="H17" s="58" t="n">
        <v>5000</v>
      </c>
      <c r="I17" s="43" t="s">
        <v>115</v>
      </c>
      <c r="J17" s="43" t="n">
        <v>48400</v>
      </c>
      <c r="K17" s="43" t="n">
        <v>0</v>
      </c>
      <c r="L17" s="43" t="n">
        <f aca="false">J17*K17</f>
        <v>0</v>
      </c>
      <c r="N17" s="58"/>
    </row>
    <row r="18" customFormat="false" ht="12.75" hidden="false" customHeight="false" outlineLevel="0" collapsed="false">
      <c r="A18" s="56" t="s">
        <v>116</v>
      </c>
      <c r="B18" s="57" t="s">
        <v>117</v>
      </c>
      <c r="C18" s="58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2" t="n">
        <f aca="false">((C18/9)*12)-250000-75000</f>
        <v>142873.226666667</v>
      </c>
      <c r="G18" s="59" t="n">
        <f aca="false">E18/$E$23</f>
        <v>0.00655205324702309</v>
      </c>
      <c r="H18" s="58" t="n">
        <v>0</v>
      </c>
      <c r="I18" s="43" t="s">
        <v>118</v>
      </c>
      <c r="J18" s="43" t="n">
        <v>49500</v>
      </c>
      <c r="K18" s="43" t="n">
        <v>0</v>
      </c>
      <c r="L18" s="43" t="n">
        <f aca="false">J18*K18</f>
        <v>0</v>
      </c>
      <c r="N18" s="58"/>
    </row>
    <row r="19" customFormat="false" ht="12.75" hidden="false" customHeight="false" outlineLevel="0" collapsed="false">
      <c r="A19" s="56" t="s">
        <v>119</v>
      </c>
      <c r="B19" s="57" t="s">
        <v>120</v>
      </c>
      <c r="C19" s="58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2" t="n">
        <f aca="false">((C19/9)*12)-75000-75000-50000-25000</f>
        <v>145613.76</v>
      </c>
      <c r="G19" s="59" t="n">
        <f aca="false">E19/$E$23</f>
        <v>0.00667773193955472</v>
      </c>
      <c r="H19" s="58" t="n">
        <v>20000</v>
      </c>
      <c r="I19" s="43" t="s">
        <v>121</v>
      </c>
      <c r="J19" s="43" t="n">
        <v>57750</v>
      </c>
      <c r="K19" s="43" t="n">
        <v>0</v>
      </c>
      <c r="L19" s="43" t="n">
        <f aca="false">J19*K19</f>
        <v>0</v>
      </c>
      <c r="N19" s="58"/>
    </row>
    <row r="20" customFormat="false" ht="12.75" hidden="false" customHeight="false" outlineLevel="0" collapsed="false">
      <c r="A20" s="56" t="s">
        <v>122</v>
      </c>
      <c r="B20" s="57" t="s">
        <v>123</v>
      </c>
      <c r="C20" s="58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2" t="n">
        <f aca="false">((C20/9)*12)</f>
        <v>21.3333333333333</v>
      </c>
      <c r="G20" s="59" t="n">
        <f aca="false">E20/$E$23</f>
        <v>9.7832980466384E-007</v>
      </c>
      <c r="H20" s="58" t="n">
        <v>0</v>
      </c>
      <c r="I20" s="43" t="s">
        <v>124</v>
      </c>
      <c r="J20" s="43" t="n">
        <v>71500</v>
      </c>
      <c r="K20" s="43" t="n">
        <v>0</v>
      </c>
      <c r="L20" s="43" t="n">
        <f aca="false">J20*K20</f>
        <v>0</v>
      </c>
      <c r="N20" s="58"/>
    </row>
    <row r="21" customFormat="false" ht="12.75" hidden="false" customHeight="false" outlineLevel="0" collapsed="false">
      <c r="A21" s="56" t="s">
        <v>125</v>
      </c>
      <c r="B21" s="57" t="s">
        <v>126</v>
      </c>
      <c r="C21" s="58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2" t="n">
        <f aca="false">((C21/9)*12)-75000</f>
        <v>181051.88</v>
      </c>
      <c r="G21" s="59" t="n">
        <f aca="false">E21/$E$23</f>
        <v>0.00830289611223848</v>
      </c>
      <c r="H21" s="58" t="n">
        <v>5652</v>
      </c>
      <c r="I21" s="43" t="s">
        <v>127</v>
      </c>
      <c r="J21" s="43" t="n">
        <v>60500</v>
      </c>
      <c r="K21" s="43" t="n">
        <v>0</v>
      </c>
      <c r="L21" s="43" t="n">
        <f aca="false">J21*K21</f>
        <v>0</v>
      </c>
      <c r="N21" s="58"/>
    </row>
    <row r="22" customFormat="false" ht="12.75" hidden="false" customHeight="false" outlineLevel="0" collapsed="false">
      <c r="A22" s="56" t="s">
        <v>128</v>
      </c>
      <c r="B22" s="57" t="s">
        <v>129</v>
      </c>
      <c r="C22" s="58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2" t="n">
        <f aca="false">((C22/9)*12)-1000000-100000</f>
        <v>5242795.57333334</v>
      </c>
      <c r="G22" s="59" t="n">
        <f aca="false">E22/$E$23</f>
        <v>0.240430461053984</v>
      </c>
      <c r="H22" s="58" t="n">
        <v>0</v>
      </c>
      <c r="I22" s="43" t="s">
        <v>130</v>
      </c>
      <c r="J22" s="43" t="n">
        <v>89100</v>
      </c>
      <c r="K22" s="43" t="n">
        <v>0</v>
      </c>
      <c r="L22" s="43" t="n">
        <f aca="false">J22*K22</f>
        <v>0</v>
      </c>
      <c r="N22" s="58"/>
    </row>
    <row r="23" customFormat="false" ht="12.75" hidden="false" customHeight="false" outlineLevel="0" collapsed="false">
      <c r="A23" s="66" t="s">
        <v>131</v>
      </c>
      <c r="B23" s="67" t="s">
        <v>132</v>
      </c>
      <c r="C23" s="68" t="n">
        <f aca="false">SUM(C8:C22)</f>
        <v>23348090.12</v>
      </c>
      <c r="E23" s="68" t="n">
        <f aca="false">SUM(E8:E22)</f>
        <v>21805870.8133333</v>
      </c>
      <c r="G23" s="69" t="n">
        <f aca="false">E23/$E$23</f>
        <v>1</v>
      </c>
      <c r="H23" s="68" t="n">
        <f aca="false">SUM(H8:H22)</f>
        <v>990172</v>
      </c>
      <c r="I23" s="43" t="s">
        <v>133</v>
      </c>
      <c r="J23" s="43" t="n">
        <v>110000</v>
      </c>
      <c r="K23" s="43" t="n">
        <v>1</v>
      </c>
      <c r="L23" s="43" t="n">
        <f aca="false">J23*K23</f>
        <v>110000</v>
      </c>
      <c r="N23" s="70"/>
    </row>
    <row r="24" customFormat="false" ht="12.75" hidden="false" customHeight="false" outlineLevel="0" collapsed="false">
      <c r="I24" s="43" t="s">
        <v>134</v>
      </c>
      <c r="J24" s="43" t="n">
        <v>143000</v>
      </c>
      <c r="K24" s="43" t="n">
        <f aca="false">1+1</f>
        <v>2</v>
      </c>
      <c r="L24" s="43" t="n">
        <f aca="false">J24*K24</f>
        <v>286000</v>
      </c>
      <c r="N24" s="21"/>
    </row>
    <row r="25" customFormat="false" ht="12.75" hidden="false" customHeight="false" outlineLevel="0" collapsed="false">
      <c r="B25" s="67" t="s">
        <v>9</v>
      </c>
      <c r="C25" s="58"/>
      <c r="E25" s="71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1" t="n">
        <f aca="false">+K16+K17+K18+K19+K20+K23+K24+K25+K26+K27</f>
        <v>4</v>
      </c>
      <c r="I25" s="43" t="s">
        <v>135</v>
      </c>
      <c r="J25" s="43" t="n">
        <v>165000</v>
      </c>
      <c r="K25" s="43" t="n">
        <v>0</v>
      </c>
      <c r="L25" s="43" t="n">
        <f aca="false">J25*K25</f>
        <v>0</v>
      </c>
      <c r="N25" s="58"/>
    </row>
    <row r="26" customFormat="false" ht="12.75" hidden="false" customHeight="false" outlineLevel="0" collapsed="false">
      <c r="C26" s="58"/>
      <c r="E26" s="58"/>
      <c r="H26" s="58"/>
      <c r="I26" s="43" t="s">
        <v>136</v>
      </c>
      <c r="J26" s="43" t="n">
        <v>198000</v>
      </c>
      <c r="K26" s="43" t="n">
        <v>1</v>
      </c>
      <c r="L26" s="43" t="n">
        <f aca="false">J26*K26</f>
        <v>198000</v>
      </c>
      <c r="N26" s="58"/>
    </row>
    <row r="27" customFormat="false" ht="12.75" hidden="false" customHeight="false" outlineLevel="0" collapsed="false">
      <c r="B27" s="67" t="s">
        <v>137</v>
      </c>
      <c r="C27" s="58"/>
      <c r="E27" s="71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1" t="n">
        <f aca="false">+K21+K22</f>
        <v>0</v>
      </c>
      <c r="I27" s="43" t="s">
        <v>138</v>
      </c>
      <c r="J27" s="43" t="n">
        <v>220000</v>
      </c>
      <c r="K27" s="43" t="n">
        <v>0</v>
      </c>
      <c r="L27" s="43" t="n">
        <f aca="false">J27*K27</f>
        <v>0</v>
      </c>
      <c r="N27" s="58"/>
    </row>
    <row r="28" customFormat="false" ht="12.75" hidden="false" customHeight="false" outlineLevel="0" collapsed="false">
      <c r="K28" s="43" t="n">
        <f aca="false">SUM(K16:K27)</f>
        <v>4</v>
      </c>
      <c r="L28" s="43" t="n">
        <f aca="false">SUM(L16:L27)*1.2</f>
        <v>712800</v>
      </c>
      <c r="N28" s="21"/>
    </row>
    <row r="29" customFormat="false" ht="12.75" hidden="false" customHeight="false" outlineLevel="0" collapsed="false">
      <c r="B29" s="67" t="s">
        <v>139</v>
      </c>
      <c r="C29" s="58"/>
      <c r="E29" s="71" t="n">
        <f aca="false">SUM(E25:E27)</f>
        <v>160</v>
      </c>
      <c r="G29" s="43"/>
      <c r="H29" s="71" t="n">
        <f aca="false">SUM(H25:H27)</f>
        <v>4</v>
      </c>
      <c r="L29" s="72" t="n">
        <v>0.2</v>
      </c>
      <c r="N29" s="58"/>
    </row>
    <row r="30" customFormat="false" ht="12.75" hidden="true" customHeight="false" outlineLevel="0" collapsed="false">
      <c r="L30" s="43" t="n">
        <f aca="false">L28*1.2</f>
        <v>855360</v>
      </c>
      <c r="N30" s="21"/>
    </row>
    <row r="31" customFormat="false" ht="12.75" hidden="true" customHeight="false" outlineLevel="0" collapsed="false">
      <c r="H31" s="16" t="s">
        <v>140</v>
      </c>
      <c r="L31" s="0"/>
      <c r="N31" s="21"/>
    </row>
    <row r="32" customFormat="false" ht="12.75" hidden="true" customHeight="false" outlineLevel="0" collapsed="false">
      <c r="B32" s="57" t="s">
        <v>107</v>
      </c>
      <c r="C32" s="58" t="n">
        <v>254512</v>
      </c>
      <c r="L32" s="0"/>
      <c r="N32" s="21"/>
    </row>
    <row r="33" customFormat="false" ht="12.75" hidden="true" customHeight="false" outlineLevel="0" collapsed="false">
      <c r="H33" s="73" t="s">
        <v>141</v>
      </c>
      <c r="I33" s="74" t="s">
        <v>142</v>
      </c>
      <c r="J33" s="74" t="s">
        <v>143</v>
      </c>
      <c r="K33" s="74" t="s">
        <v>86</v>
      </c>
      <c r="L33" s="74" t="s">
        <v>144</v>
      </c>
      <c r="N33" s="21"/>
    </row>
    <row r="34" customFormat="false" ht="12.75" hidden="true" customHeight="false" outlineLevel="0" collapsed="false">
      <c r="H34" s="75" t="n">
        <f aca="false">SUM(E12:E22)</f>
        <v>7723229</v>
      </c>
      <c r="I34" s="74" t="n">
        <f aca="false">+E29</f>
        <v>160</v>
      </c>
      <c r="J34" s="74" t="n">
        <f aca="false">+H34/I34</f>
        <v>48270.18125</v>
      </c>
      <c r="K34" s="74" t="n">
        <f aca="false">+K11</f>
        <v>4</v>
      </c>
      <c r="L34" s="74" t="n">
        <f aca="false">+J34*K34</f>
        <v>193080.725</v>
      </c>
      <c r="N34" s="21"/>
    </row>
    <row r="35" customFormat="false" ht="12.75" hidden="true" customHeight="false" outlineLevel="0" collapsed="false">
      <c r="N35" s="21"/>
    </row>
    <row r="36" customFormat="false" ht="12.75" hidden="true" customHeight="false" outlineLevel="0" collapsed="false">
      <c r="N36" s="21"/>
    </row>
    <row r="37" customFormat="false" ht="12.75" hidden="true" customHeight="false" outlineLevel="0" collapsed="false">
      <c r="N37" s="21"/>
    </row>
    <row r="38" customFormat="false" ht="12.75" hidden="true" customHeight="false" outlineLevel="0" collapsed="false">
      <c r="N38" s="21"/>
    </row>
    <row r="39" customFormat="false" ht="12.75" hidden="false" customHeight="false" outlineLevel="0" collapsed="false">
      <c r="N39" s="21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2001-12-05T10:50:56Z</dcterms:created>
  <dc:creator>dvandor</dc:creator>
  <dc:description/>
  <dc:language>en-US</dc:language>
  <cp:lastModifiedBy>thardy</cp:lastModifiedBy>
  <cp:lastPrinted>2002-01-03T21:04:49Z</cp:lastPrinted>
  <dcterms:modified xsi:type="dcterms:W3CDTF">2002-01-03T21:04:52Z</dcterms:modified>
  <cp:revision>0</cp:revision>
  <dc:subject/>
  <dc:title/>
</cp:coreProperties>
</file>