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<sst xmlns="http://schemas.openxmlformats.org/spreadsheetml/2006/main" count="62" uniqueCount="57">
  <si>
    <t xml:space="preserve">Nomination Summary - Powder River</t>
  </si>
  <si>
    <t xml:space="preserve">Mcf</t>
  </si>
  <si>
    <t xml:space="preserve">Mmbtu</t>
  </si>
  <si>
    <t xml:space="preserve">MMBtu</t>
  </si>
  <si>
    <t xml:space="preserve">Purchase Summary</t>
  </si>
  <si>
    <t xml:space="preserve">Total Purchases</t>
  </si>
  <si>
    <t xml:space="preserve">Wellhead</t>
  </si>
  <si>
    <t xml:space="preserve">Add'l Prod.</t>
  </si>
  <si>
    <t xml:space="preserve">Less fuel </t>
  </si>
  <si>
    <t xml:space="preserve">Nomination</t>
  </si>
  <si>
    <t xml:space="preserve">IT</t>
  </si>
  <si>
    <t xml:space="preserve">Btu Factor</t>
  </si>
  <si>
    <t xml:space="preserve">Confirmation</t>
  </si>
  <si>
    <t xml:space="preserve">to Glennrock</t>
  </si>
  <si>
    <t xml:space="preserve">NGPL</t>
  </si>
  <si>
    <t xml:space="preserve">CIG</t>
  </si>
  <si>
    <t xml:space="preserve">CIG GD</t>
  </si>
  <si>
    <t xml:space="preserve">note:</t>
  </si>
  <si>
    <t xml:space="preserve">Box Draw/So. Kitty/Maverick</t>
  </si>
  <si>
    <t xml:space="preserve">Kennedy</t>
  </si>
  <si>
    <t xml:space="preserve">Kennedy South Kitty</t>
  </si>
  <si>
    <t xml:space="preserve">Wellstar</t>
  </si>
  <si>
    <t xml:space="preserve">Box Draw/Maverick Total</t>
  </si>
  <si>
    <t xml:space="preserve">Bear Paw</t>
  </si>
  <si>
    <t xml:space="preserve">Citation</t>
  </si>
  <si>
    <t xml:space="preserve">Coleman</t>
  </si>
  <si>
    <t xml:space="preserve">Clydesdale</t>
  </si>
  <si>
    <t xml:space="preserve">Phillips</t>
  </si>
  <si>
    <t xml:space="preserve">Phillips (Non Dedicated)</t>
  </si>
  <si>
    <t xml:space="preserve">Clydesdale Total</t>
  </si>
  <si>
    <t xml:space="preserve">Caballo</t>
  </si>
  <si>
    <t xml:space="preserve">MTG</t>
  </si>
  <si>
    <t xml:space="preserve">North Finn</t>
  </si>
  <si>
    <t xml:space="preserve">Quantum</t>
  </si>
  <si>
    <t xml:space="preserve">Independent</t>
  </si>
  <si>
    <t xml:space="preserve">(18000)</t>
  </si>
  <si>
    <t xml:space="preserve">settle on actual production NOT nomination</t>
  </si>
  <si>
    <t xml:space="preserve">Caballo Total</t>
  </si>
  <si>
    <t xml:space="preserve">TOTAL ENA</t>
  </si>
  <si>
    <t xml:space="preserve">Firm Transport</t>
  </si>
  <si>
    <t xml:space="preserve">Position</t>
  </si>
  <si>
    <t xml:space="preserve">Mcf Avail.</t>
  </si>
  <si>
    <t xml:space="preserve">MMBtu Avail.</t>
  </si>
  <si>
    <t xml:space="preserve">ADDITIONAL PURCHASES:</t>
  </si>
  <si>
    <t xml:space="preserve">at Wellhead</t>
  </si>
  <si>
    <t xml:space="preserve">at Glenrock</t>
  </si>
  <si>
    <t xml:space="preserve">Kennedy - CIG Gas Daily -.1738 #816489</t>
  </si>
  <si>
    <t xml:space="preserve">Kennedy - CIG Index -.34 #812680</t>
  </si>
  <si>
    <t xml:space="preserve">Kennedy - CIG Gas Daily -.34 #812687</t>
  </si>
  <si>
    <t xml:space="preserve">Citation -CIG Gas Daily -.50 #816247</t>
  </si>
  <si>
    <t xml:space="preserve">North Finn - CIG Gas Daily - .50 #818868</t>
  </si>
  <si>
    <t xml:space="preserve">Quantum -CIG Gas Daily -.50 #816515</t>
  </si>
  <si>
    <t xml:space="preserve">Wellstar -CIG Index -.70 #749888</t>
  </si>
  <si>
    <t xml:space="preserve">MARKETS:</t>
  </si>
  <si>
    <t xml:space="preserve">Volumetric Firm</t>
  </si>
  <si>
    <t xml:space="preserve">CMS</t>
  </si>
  <si>
    <t xml:space="preserve">Retex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</si>
</sst>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-yy"/>
    <numFmt numFmtId="166" formatCode="[$-409]mmm\-yy"/>
    <numFmt numFmtId="167" formatCode="0.000"/>
    <numFmt numFmtId="168" formatCode="_(* #,##0.00_);_(* \(#,##0.00\);_(* \-??_);_(@_)"/>
    <numFmt numFmtId="169" formatCode="_(* #,##0_);_(* \(#,##0\);_(* \-??_);_(@_)"/>
    <numFmt numFmtId="170" formatCode="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56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6" min="6" style="0" width="11.7"/>
    <col collapsed="false" customWidth="true" hidden="false" outlineLevel="0" max="7" min="7" style="0" width="11.13"/>
    <col collapsed="false" customWidth="true" hidden="false" outlineLevel="0" max="10" min="10" style="0" width="9.28"/>
    <col collapsed="false" customWidth="true" hidden="false" outlineLevel="0" max="11" min="11" style="0" width="14.41"/>
    <col collapsed="false" customWidth="true" hidden="false" outlineLevel="0" max="12" min="12" style="0" width="29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37043</v>
      </c>
      <c r="B2" s="2"/>
      <c r="C2" s="2"/>
      <c r="D2" s="2"/>
      <c r="E2" s="2"/>
    </row>
    <row r="3" customFormat="false" ht="13.5" hidden="false" customHeight="false" outlineLevel="0" collapsed="false">
      <c r="A3" s="3"/>
      <c r="B3" s="3"/>
      <c r="C3" s="3"/>
      <c r="D3" s="3"/>
      <c r="E3" s="3"/>
    </row>
    <row r="4" customFormat="false" ht="13.5" hidden="false" customHeight="false" outlineLevel="0" collapsed="false">
      <c r="B4" s="0" t="s">
        <v>1</v>
      </c>
      <c r="F4" s="0" t="s">
        <v>2</v>
      </c>
      <c r="G4" s="0" t="s">
        <v>3</v>
      </c>
      <c r="H4" s="4"/>
      <c r="I4" s="5" t="s">
        <v>4</v>
      </c>
      <c r="J4" s="6"/>
      <c r="K4" s="7" t="s">
        <v>5</v>
      </c>
    </row>
    <row r="5" customFormat="false" ht="12.75" hidden="false" customHeight="false" outlineLevel="0" collapsed="false">
      <c r="B5" s="8" t="s">
        <v>6</v>
      </c>
      <c r="C5" s="8" t="s">
        <v>7</v>
      </c>
      <c r="D5" s="8"/>
      <c r="E5" s="8"/>
      <c r="F5" s="8" t="s">
        <v>6</v>
      </c>
      <c r="G5" s="8" t="s">
        <v>8</v>
      </c>
      <c r="H5" s="9"/>
      <c r="I5" s="10"/>
      <c r="J5" s="11"/>
      <c r="K5" s="12"/>
    </row>
    <row r="6" customFormat="false" ht="12.75" hidden="false" customHeight="false" outlineLevel="0" collapsed="false">
      <c r="B6" s="13" t="s">
        <v>9</v>
      </c>
      <c r="C6" s="13" t="s">
        <v>1</v>
      </c>
      <c r="D6" s="13" t="s">
        <v>10</v>
      </c>
      <c r="E6" s="13" t="s">
        <v>11</v>
      </c>
      <c r="F6" s="13" t="s">
        <v>12</v>
      </c>
      <c r="G6" s="13" t="s">
        <v>13</v>
      </c>
      <c r="H6" s="14" t="s">
        <v>14</v>
      </c>
      <c r="I6" s="15" t="s">
        <v>15</v>
      </c>
      <c r="J6" s="16" t="s">
        <v>16</v>
      </c>
      <c r="K6" s="12"/>
      <c r="L6" s="0" t="s">
        <v>17</v>
      </c>
    </row>
    <row r="7" customFormat="false" ht="13.5" hidden="false" customHeight="false" outlineLevel="0" collapsed="false">
      <c r="A7" s="3" t="s">
        <v>18</v>
      </c>
      <c r="B7" s="17"/>
      <c r="C7" s="17"/>
      <c r="D7" s="17"/>
      <c r="E7" s="17"/>
      <c r="F7" s="18"/>
      <c r="G7" s="18"/>
      <c r="H7" s="9"/>
      <c r="I7" s="10"/>
      <c r="J7" s="11"/>
      <c r="K7" s="12"/>
    </row>
    <row r="8" customFormat="false" ht="12.75" hidden="false" customHeight="false" outlineLevel="0" collapsed="false">
      <c r="A8" s="19" t="s">
        <v>19</v>
      </c>
      <c r="B8" s="20" t="n">
        <v>5865</v>
      </c>
      <c r="C8" s="21" t="n">
        <f aca="false">12150-5865</f>
        <v>6285</v>
      </c>
      <c r="D8" s="22"/>
      <c r="E8" s="23" t="n">
        <v>0.9579423868</v>
      </c>
      <c r="F8" s="24" t="n">
        <f aca="false">+B8*E8</f>
        <v>5618.332098582</v>
      </c>
      <c r="G8" s="24" t="n">
        <f aca="false">0.8877*F8</f>
        <v>4987.39340391124</v>
      </c>
      <c r="H8" s="25" t="n">
        <f aca="false">0.34*12000</f>
        <v>4080</v>
      </c>
      <c r="I8" s="26" t="n">
        <f aca="false">0.8*F8-H8</f>
        <v>414.6656788656</v>
      </c>
      <c r="J8" s="27" t="n">
        <f aca="false">+G8-H8-I8</f>
        <v>492.727725045642</v>
      </c>
      <c r="K8" s="28" t="n">
        <f aca="false">SUM(H8:J8)</f>
        <v>4987.39340391124</v>
      </c>
      <c r="L8" s="29"/>
    </row>
    <row r="9" customFormat="false" ht="12.75" hidden="false" customHeight="false" outlineLevel="0" collapsed="false">
      <c r="A9" s="30" t="s">
        <v>20</v>
      </c>
      <c r="B9" s="31" t="n">
        <v>16135</v>
      </c>
      <c r="C9" s="32" t="n">
        <f aca="false">22790-16135</f>
        <v>6655</v>
      </c>
      <c r="D9" s="33"/>
      <c r="E9" s="34" t="n">
        <v>0.94940763492</v>
      </c>
      <c r="F9" s="35" t="n">
        <f aca="false">+B9*E9</f>
        <v>15318.6921894342</v>
      </c>
      <c r="G9" s="35" t="n">
        <f aca="false">0.9095*F9</f>
        <v>13932.3505462904</v>
      </c>
      <c r="H9" s="36" t="n">
        <f aca="false">0.66*12000</f>
        <v>7920</v>
      </c>
      <c r="I9" s="37" t="n">
        <f aca="false">0.8*F9-H9</f>
        <v>4334.95375154736</v>
      </c>
      <c r="J9" s="38" t="n">
        <f aca="false">+G9-H9-I9</f>
        <v>1677.39679474304</v>
      </c>
      <c r="K9" s="39" t="n">
        <f aca="false">SUM(H9:J9)</f>
        <v>13932.3505462904</v>
      </c>
      <c r="L9" s="29"/>
    </row>
    <row r="10" customFormat="false" ht="13.5" hidden="false" customHeight="false" outlineLevel="0" collapsed="false">
      <c r="A10" s="40" t="s">
        <v>21</v>
      </c>
      <c r="B10" s="41" t="n">
        <v>1950</v>
      </c>
      <c r="C10" s="42"/>
      <c r="D10" s="43"/>
      <c r="E10" s="44" t="n">
        <v>0.93905266644</v>
      </c>
      <c r="F10" s="45" t="n">
        <f aca="false">+B10*E10</f>
        <v>1831.152699558</v>
      </c>
      <c r="G10" s="45" t="n">
        <f aca="false">0.8917*F10</f>
        <v>1632.83886219587</v>
      </c>
      <c r="H10" s="46" t="n">
        <f aca="false">+G10</f>
        <v>1632.83886219587</v>
      </c>
      <c r="I10" s="47" t="n">
        <v>0</v>
      </c>
      <c r="J10" s="48" t="n">
        <v>0</v>
      </c>
      <c r="K10" s="49" t="n">
        <f aca="false">SUM(H10:J10)</f>
        <v>1632.83886219587</v>
      </c>
      <c r="L10" s="29"/>
    </row>
    <row r="11" customFormat="false" ht="12.75" hidden="false" customHeight="false" outlineLevel="0" collapsed="false">
      <c r="A11" s="50" t="s">
        <v>22</v>
      </c>
      <c r="B11" s="51" t="n">
        <f aca="false">SUM(B8:B10)</f>
        <v>23950</v>
      </c>
      <c r="C11" s="52"/>
      <c r="D11" s="52"/>
      <c r="E11" s="52"/>
      <c r="F11" s="53"/>
      <c r="G11" s="53" t="n">
        <f aca="false">SUM(G8:G10)</f>
        <v>20552.5828123975</v>
      </c>
      <c r="H11" s="54"/>
      <c r="I11" s="55"/>
      <c r="J11" s="55"/>
      <c r="K11" s="56"/>
      <c r="L11" s="29"/>
    </row>
    <row r="12" customFormat="false" ht="12.75" hidden="false" customHeight="false" outlineLevel="0" collapsed="false">
      <c r="A12" s="50"/>
      <c r="B12" s="57"/>
      <c r="C12" s="52"/>
      <c r="D12" s="52"/>
      <c r="E12" s="52"/>
      <c r="F12" s="58"/>
      <c r="G12" s="58"/>
      <c r="H12" s="54"/>
      <c r="I12" s="55"/>
      <c r="J12" s="55"/>
      <c r="K12" s="56"/>
      <c r="L12" s="29"/>
    </row>
    <row r="13" customFormat="false" ht="13.5" hidden="false" customHeight="false" outlineLevel="0" collapsed="false">
      <c r="A13" s="3" t="s">
        <v>23</v>
      </c>
      <c r="B13" s="57"/>
      <c r="C13" s="52"/>
      <c r="D13" s="52"/>
      <c r="E13" s="52"/>
      <c r="F13" s="58"/>
      <c r="G13" s="59"/>
      <c r="H13" s="54"/>
      <c r="I13" s="55"/>
      <c r="J13" s="55"/>
      <c r="K13" s="56"/>
      <c r="L13" s="29"/>
    </row>
    <row r="14" customFormat="false" ht="12.75" hidden="false" customHeight="false" outlineLevel="0" collapsed="false">
      <c r="A14" s="19" t="s">
        <v>24</v>
      </c>
      <c r="B14" s="22" t="n">
        <v>0</v>
      </c>
      <c r="C14" s="22"/>
      <c r="D14" s="22"/>
      <c r="E14" s="22"/>
      <c r="F14" s="20" t="n">
        <v>0</v>
      </c>
      <c r="G14" s="24" t="n">
        <v>0</v>
      </c>
      <c r="H14" s="25"/>
      <c r="I14" s="26" t="n">
        <v>0</v>
      </c>
      <c r="J14" s="26" t="n">
        <v>0</v>
      </c>
      <c r="K14" s="28" t="n">
        <f aca="false">SUM(H14:J14)</f>
        <v>0</v>
      </c>
      <c r="L14" s="29"/>
    </row>
    <row r="15" customFormat="false" ht="13.5" hidden="false" customHeight="false" outlineLevel="0" collapsed="false">
      <c r="A15" s="40" t="s">
        <v>25</v>
      </c>
      <c r="B15" s="60"/>
      <c r="C15" s="43"/>
      <c r="D15" s="43"/>
      <c r="E15" s="43"/>
      <c r="F15" s="41" t="n">
        <v>0</v>
      </c>
      <c r="G15" s="45" t="n">
        <f aca="false">F15</f>
        <v>0</v>
      </c>
      <c r="H15" s="46"/>
      <c r="I15" s="47" t="n">
        <f aca="false">0.8*F15</f>
        <v>0</v>
      </c>
      <c r="J15" s="47" t="n">
        <f aca="false">+G15-I15</f>
        <v>0</v>
      </c>
      <c r="K15" s="49" t="n">
        <f aca="false">SUM(H15:J15)</f>
        <v>0</v>
      </c>
      <c r="L15" s="29"/>
    </row>
    <row r="16" customFormat="false" ht="12.75" hidden="false" customHeight="false" outlineLevel="0" collapsed="false">
      <c r="A16" s="33"/>
      <c r="B16" s="61"/>
      <c r="C16" s="33"/>
      <c r="D16" s="33"/>
      <c r="E16" s="33"/>
      <c r="F16" s="33"/>
      <c r="G16" s="35"/>
      <c r="H16" s="62"/>
      <c r="I16" s="37"/>
      <c r="J16" s="37"/>
      <c r="K16" s="39"/>
      <c r="L16" s="29"/>
    </row>
    <row r="17" customFormat="false" ht="13.5" hidden="false" customHeight="false" outlineLevel="0" collapsed="false">
      <c r="A17" s="61" t="s">
        <v>26</v>
      </c>
      <c r="B17" s="61"/>
      <c r="C17" s="33"/>
      <c r="D17" s="33"/>
      <c r="E17" s="33"/>
      <c r="F17" s="33"/>
      <c r="G17" s="35"/>
      <c r="H17" s="62"/>
      <c r="I17" s="37"/>
      <c r="J17" s="37"/>
      <c r="K17" s="39"/>
      <c r="L17" s="29"/>
    </row>
    <row r="18" customFormat="false" ht="12.75" hidden="false" customHeight="false" outlineLevel="0" collapsed="false">
      <c r="A18" s="19" t="s">
        <v>27</v>
      </c>
      <c r="B18" s="20" t="n">
        <v>12500</v>
      </c>
      <c r="C18" s="21" t="n">
        <v>5078</v>
      </c>
      <c r="D18" s="22"/>
      <c r="E18" s="23" t="n">
        <v>0.946</v>
      </c>
      <c r="F18" s="24" t="n">
        <f aca="false">+B18*E18</f>
        <v>11825</v>
      </c>
      <c r="G18" s="63" t="n">
        <f aca="false">0.9243*F18</f>
        <v>10929.8475</v>
      </c>
      <c r="H18" s="64" t="n">
        <f aca="false">+F18*0.8</f>
        <v>9460</v>
      </c>
      <c r="I18" s="26" t="n">
        <f aca="false">MAX(0,0.8*F18-H18)</f>
        <v>0</v>
      </c>
      <c r="J18" s="26" t="n">
        <f aca="false">+G18-I18-H18</f>
        <v>1469.8475</v>
      </c>
      <c r="K18" s="28" t="n">
        <f aca="false">SUM(H18:J18)</f>
        <v>10929.8475</v>
      </c>
      <c r="L18" s="29"/>
    </row>
    <row r="19" customFormat="false" ht="13.5" hidden="false" customHeight="false" outlineLevel="0" collapsed="false">
      <c r="A19" s="40" t="s">
        <v>28</v>
      </c>
      <c r="B19" s="41"/>
      <c r="C19" s="43"/>
      <c r="D19" s="43"/>
      <c r="E19" s="44"/>
      <c r="F19" s="45" t="n">
        <f aca="false">+B19*E19</f>
        <v>0</v>
      </c>
      <c r="G19" s="65" t="n">
        <f aca="false">0.937*F19</f>
        <v>0</v>
      </c>
      <c r="H19" s="66"/>
      <c r="I19" s="47" t="n">
        <f aca="false">+G19</f>
        <v>0</v>
      </c>
      <c r="J19" s="47"/>
      <c r="K19" s="49" t="n">
        <f aca="false">SUM(H19:J19)</f>
        <v>0</v>
      </c>
      <c r="L19" s="29"/>
    </row>
    <row r="20" customFormat="false" ht="12.75" hidden="false" customHeight="false" outlineLevel="0" collapsed="false">
      <c r="A20" s="67" t="s">
        <v>29</v>
      </c>
      <c r="B20" s="61" t="n">
        <f aca="false">SUM(B18:B19)</f>
        <v>12500</v>
      </c>
      <c r="C20" s="33"/>
      <c r="D20" s="33"/>
      <c r="E20" s="33"/>
      <c r="F20" s="68"/>
      <c r="G20" s="35"/>
      <c r="H20" s="62"/>
      <c r="I20" s="37"/>
      <c r="J20" s="37"/>
      <c r="K20" s="39"/>
      <c r="L20" s="29"/>
    </row>
    <row r="21" customFormat="false" ht="12.75" hidden="false" customHeight="false" outlineLevel="0" collapsed="false">
      <c r="A21" s="33"/>
      <c r="B21" s="61"/>
      <c r="C21" s="33"/>
      <c r="D21" s="33"/>
      <c r="E21" s="33"/>
      <c r="F21" s="33"/>
      <c r="G21" s="35"/>
      <c r="H21" s="62"/>
      <c r="I21" s="37"/>
      <c r="J21" s="37"/>
      <c r="K21" s="39"/>
      <c r="L21" s="29"/>
    </row>
    <row r="22" customFormat="false" ht="12.75" hidden="false" customHeight="false" outlineLevel="0" collapsed="false">
      <c r="A22" s="58"/>
      <c r="B22" s="57"/>
      <c r="C22" s="58"/>
      <c r="D22" s="58"/>
      <c r="E22" s="58"/>
      <c r="F22" s="58"/>
      <c r="G22" s="58"/>
      <c r="H22" s="54"/>
      <c r="I22" s="55"/>
      <c r="J22" s="55"/>
      <c r="K22" s="56"/>
      <c r="L22" s="29"/>
    </row>
    <row r="23" customFormat="false" ht="13.5" hidden="false" customHeight="false" outlineLevel="0" collapsed="false">
      <c r="A23" s="61" t="s">
        <v>30</v>
      </c>
      <c r="B23" s="57"/>
      <c r="C23" s="58"/>
      <c r="D23" s="58"/>
      <c r="E23" s="58"/>
      <c r="F23" s="58"/>
      <c r="G23" s="58"/>
      <c r="H23" s="54"/>
      <c r="I23" s="55"/>
      <c r="J23" s="55"/>
      <c r="K23" s="56"/>
      <c r="L23" s="29"/>
    </row>
    <row r="24" customFormat="false" ht="12.75" hidden="false" customHeight="false" outlineLevel="0" collapsed="false">
      <c r="A24" s="19" t="s">
        <v>31</v>
      </c>
      <c r="B24" s="20" t="n">
        <v>140</v>
      </c>
      <c r="C24" s="69" t="n">
        <v>0</v>
      </c>
      <c r="D24" s="69"/>
      <c r="E24" s="23" t="n">
        <v>0.957</v>
      </c>
      <c r="F24" s="24" t="n">
        <f aca="false">+B24*E24</f>
        <v>133.98</v>
      </c>
      <c r="G24" s="70" t="n">
        <f aca="false">0.997*F24</f>
        <v>133.57806</v>
      </c>
      <c r="H24" s="26"/>
      <c r="I24" s="26" t="n">
        <f aca="false">0.5*F24</f>
        <v>66.99</v>
      </c>
      <c r="J24" s="26" t="n">
        <f aca="false">+G24-I24</f>
        <v>66.58806</v>
      </c>
      <c r="K24" s="28" t="n">
        <f aca="false">SUM(H24:J24)</f>
        <v>133.57806</v>
      </c>
      <c r="L24" s="29"/>
    </row>
    <row r="25" customFormat="false" ht="12.75" hidden="false" customHeight="false" outlineLevel="0" collapsed="false">
      <c r="A25" s="30" t="s">
        <v>32</v>
      </c>
      <c r="B25" s="31" t="n">
        <v>0</v>
      </c>
      <c r="C25" s="17" t="n">
        <v>0</v>
      </c>
      <c r="D25" s="17"/>
      <c r="E25" s="34" t="n">
        <v>0.94</v>
      </c>
      <c r="F25" s="35" t="n">
        <f aca="false">+B25*E25</f>
        <v>0</v>
      </c>
      <c r="G25" s="71" t="n">
        <f aca="false">0.937*F25</f>
        <v>0</v>
      </c>
      <c r="H25" s="37"/>
      <c r="I25" s="37"/>
      <c r="J25" s="37" t="n">
        <f aca="false">+G25</f>
        <v>0</v>
      </c>
      <c r="K25" s="39" t="n">
        <f aca="false">SUM(H25:J25)</f>
        <v>0</v>
      </c>
      <c r="L25" s="29"/>
    </row>
    <row r="26" customFormat="false" ht="12.75" hidden="false" customHeight="false" outlineLevel="0" collapsed="false">
      <c r="A26" s="30" t="s">
        <v>27</v>
      </c>
      <c r="B26" s="31" t="n">
        <v>0</v>
      </c>
      <c r="C26" s="32" t="n">
        <v>0</v>
      </c>
      <c r="D26" s="61"/>
      <c r="E26" s="34" t="n">
        <v>0.938</v>
      </c>
      <c r="F26" s="35" t="n">
        <f aca="false">+B26*E26</f>
        <v>0</v>
      </c>
      <c r="G26" s="71" t="n">
        <f aca="false">0.9008*F26</f>
        <v>0</v>
      </c>
      <c r="H26" s="37" t="n">
        <f aca="false">F26/($F$18+$F$26)*10000</f>
        <v>0</v>
      </c>
      <c r="I26" s="37" t="n">
        <f aca="false">MAX(0,0.8*F26-H26)</f>
        <v>0</v>
      </c>
      <c r="J26" s="37" t="n">
        <f aca="false">+G26-I26-H26</f>
        <v>0</v>
      </c>
      <c r="K26" s="39" t="n">
        <f aca="false">SUM(H26:J26)</f>
        <v>0</v>
      </c>
      <c r="L26" s="29"/>
    </row>
    <row r="27" customFormat="false" ht="12.75" hidden="false" customHeight="false" outlineLevel="0" collapsed="false">
      <c r="A27" s="30" t="s">
        <v>33</v>
      </c>
      <c r="B27" s="31" t="n">
        <v>1000</v>
      </c>
      <c r="C27" s="32" t="n">
        <f aca="false">1470-1041</f>
        <v>429</v>
      </c>
      <c r="D27" s="61"/>
      <c r="E27" s="34" t="n">
        <v>0.971</v>
      </c>
      <c r="F27" s="35" t="n">
        <f aca="false">+B27*E27</f>
        <v>971</v>
      </c>
      <c r="G27" s="71" t="n">
        <f aca="false">0.8975*F27</f>
        <v>871.4725</v>
      </c>
      <c r="H27" s="37" t="n">
        <v>0</v>
      </c>
      <c r="I27" s="37" t="n">
        <f aca="false">0.8*F27</f>
        <v>776.8</v>
      </c>
      <c r="J27" s="37" t="n">
        <f aca="false">+G27-I27-H27</f>
        <v>94.6724999999999</v>
      </c>
      <c r="K27" s="39" t="n">
        <f aca="false">SUM(H27:J27)</f>
        <v>871.4725</v>
      </c>
      <c r="L27" s="29"/>
    </row>
    <row r="28" customFormat="false" ht="13.5" hidden="false" customHeight="false" outlineLevel="0" collapsed="false">
      <c r="A28" s="40" t="s">
        <v>34</v>
      </c>
      <c r="B28" s="41" t="n">
        <v>15104</v>
      </c>
      <c r="C28" s="43" t="s">
        <v>35</v>
      </c>
      <c r="D28" s="60"/>
      <c r="E28" s="44" t="n">
        <v>0.939</v>
      </c>
      <c r="F28" s="45" t="n">
        <f aca="false">+B28*E28</f>
        <v>14182.656</v>
      </c>
      <c r="G28" s="72" t="n">
        <f aca="false">0.9512*F28</f>
        <v>13490.5423872</v>
      </c>
      <c r="H28" s="37" t="n">
        <v>10000</v>
      </c>
      <c r="I28" s="37" t="n">
        <f aca="false">0.8*F28-H28</f>
        <v>1346.1248</v>
      </c>
      <c r="J28" s="37" t="n">
        <f aca="false">+G28-H28-I28</f>
        <v>2144.4175872</v>
      </c>
      <c r="K28" s="39" t="n">
        <f aca="false">SUM(H28:J28)</f>
        <v>13490.5423872</v>
      </c>
      <c r="L28" s="52" t="s">
        <v>36</v>
      </c>
    </row>
    <row r="29" customFormat="false" ht="13.5" hidden="false" customHeight="false" outlineLevel="0" collapsed="false">
      <c r="A29" s="73" t="s">
        <v>37</v>
      </c>
      <c r="B29" s="0" t="n">
        <f aca="false">SUM(B24:B28)</f>
        <v>16244</v>
      </c>
      <c r="G29" s="74" t="n">
        <f aca="false">SUM(G24:G28)</f>
        <v>14495.5929472</v>
      </c>
      <c r="H29" s="75"/>
      <c r="I29" s="76"/>
      <c r="J29" s="76"/>
      <c r="K29" s="12"/>
    </row>
    <row r="30" customFormat="false" ht="18.75" hidden="false" customHeight="false" outlineLevel="0" collapsed="false">
      <c r="A30" s="3" t="s">
        <v>38</v>
      </c>
      <c r="B30" s="52" t="n">
        <f aca="false">+B29+B20+B11</f>
        <v>52694</v>
      </c>
      <c r="C30" s="52"/>
      <c r="D30" s="52"/>
      <c r="E30" s="52"/>
      <c r="F30" s="77" t="n">
        <f aca="false">SUM(F8:F29)</f>
        <v>49880.8129875742</v>
      </c>
      <c r="G30" s="78" t="n">
        <f aca="false">SUM(G8:G29)-G29-G11</f>
        <v>45978.0232595975</v>
      </c>
      <c r="H30" s="79" t="n">
        <f aca="false">SUM(H8:H29)</f>
        <v>33092.8388621959</v>
      </c>
      <c r="I30" s="80" t="n">
        <f aca="false">SUM(I8:I29)</f>
        <v>6939.53423041296</v>
      </c>
      <c r="J30" s="80" t="n">
        <f aca="false">SUM(J8:J29)</f>
        <v>5945.65016698868</v>
      </c>
      <c r="K30" s="81" t="n">
        <f aca="false">SUM(K8:K28)</f>
        <v>45978.0232595975</v>
      </c>
      <c r="L30" s="74"/>
    </row>
    <row r="31" customFormat="false" ht="12.75" hidden="false" customHeight="false" outlineLevel="0" collapsed="false">
      <c r="A31" s="73"/>
    </row>
    <row r="32" customFormat="false" ht="12.75" hidden="false" customHeight="false" outlineLevel="0" collapsed="false">
      <c r="A32" s="17"/>
      <c r="B32" s="17"/>
      <c r="C32" s="17"/>
      <c r="D32" s="17"/>
      <c r="E32" s="17"/>
      <c r="F32" s="17"/>
      <c r="G32" s="17"/>
      <c r="H32" s="17"/>
      <c r="K32" s="0" t="n">
        <v>49053</v>
      </c>
      <c r="L32" s="0" t="s">
        <v>39</v>
      </c>
    </row>
    <row r="33" customFormat="false" ht="12.75" hidden="false" customHeight="false" outlineLevel="0" collapsed="false">
      <c r="A33" s="61"/>
      <c r="B33" s="17"/>
      <c r="C33" s="17"/>
      <c r="D33" s="17"/>
      <c r="E33" s="17"/>
      <c r="F33" s="82"/>
      <c r="G33" s="17"/>
      <c r="H33" s="17"/>
      <c r="K33" s="74" t="n">
        <f aca="false">+K30-K32</f>
        <v>-3074.97674040249</v>
      </c>
      <c r="L33" s="0" t="s">
        <v>40</v>
      </c>
    </row>
    <row r="34" customFormat="false" ht="12.75" hidden="false" customHeight="false" outlineLevel="0" collapsed="false">
      <c r="A34" s="33"/>
      <c r="B34" s="31"/>
      <c r="C34" s="61" t="s">
        <v>41</v>
      </c>
      <c r="D34" s="61" t="s">
        <v>42</v>
      </c>
      <c r="E34" s="34"/>
      <c r="F34" s="35"/>
      <c r="G34" s="83"/>
      <c r="H34" s="17"/>
    </row>
    <row r="35" customFormat="false" ht="13.5" hidden="false" customHeight="false" outlineLevel="0" collapsed="false">
      <c r="A35" s="61" t="s">
        <v>43</v>
      </c>
      <c r="B35" s="31"/>
      <c r="C35" s="61" t="s">
        <v>44</v>
      </c>
      <c r="D35" s="61" t="s">
        <v>45</v>
      </c>
      <c r="E35" s="34"/>
      <c r="F35" s="35"/>
      <c r="G35" s="83"/>
      <c r="H35" s="84"/>
      <c r="I35" s="74"/>
    </row>
    <row r="36" customFormat="false" ht="12.75" hidden="false" customHeight="false" outlineLevel="0" collapsed="false">
      <c r="A36" s="85" t="s">
        <v>46</v>
      </c>
      <c r="B36" s="86" t="n">
        <v>1153</v>
      </c>
      <c r="C36" s="69"/>
      <c r="D36" s="69"/>
      <c r="E36" s="23" t="n">
        <v>0.957</v>
      </c>
      <c r="F36" s="24" t="n">
        <f aca="false">+B36*E36</f>
        <v>1103.421</v>
      </c>
      <c r="G36" s="87" t="n">
        <f aca="false">0.8877*F36</f>
        <v>979.5068217</v>
      </c>
      <c r="H36" s="88"/>
      <c r="I36" s="88" t="n">
        <v>980</v>
      </c>
      <c r="J36" s="88"/>
      <c r="K36" s="89" t="n">
        <f aca="false">SUM(H36:J36)</f>
        <v>980</v>
      </c>
    </row>
    <row r="37" customFormat="false" ht="12.75" hidden="false" customHeight="false" outlineLevel="0" collapsed="false">
      <c r="A37" s="90" t="s">
        <v>47</v>
      </c>
      <c r="B37" s="91" t="n">
        <v>5143</v>
      </c>
      <c r="C37" s="92"/>
      <c r="D37" s="61"/>
      <c r="E37" s="34" t="n">
        <v>0.957</v>
      </c>
      <c r="F37" s="35" t="n">
        <f aca="false">+B37*E37</f>
        <v>4921.851</v>
      </c>
      <c r="G37" s="71" t="n">
        <f aca="false">0.8877*F37</f>
        <v>4369.1271327</v>
      </c>
      <c r="H37" s="93"/>
      <c r="I37" s="93" t="n">
        <v>4369</v>
      </c>
      <c r="J37" s="93"/>
      <c r="K37" s="94" t="n">
        <f aca="false">SUM(H37:J37)</f>
        <v>4369</v>
      </c>
    </row>
    <row r="38" customFormat="false" ht="12.75" hidden="false" customHeight="false" outlineLevel="0" collapsed="false">
      <c r="A38" s="90" t="s">
        <v>48</v>
      </c>
      <c r="B38" s="91" t="n">
        <v>6645</v>
      </c>
      <c r="C38" s="95"/>
      <c r="D38" s="61"/>
      <c r="E38" s="34" t="n">
        <v>0.949</v>
      </c>
      <c r="F38" s="35" t="n">
        <f aca="false">+B38*E38</f>
        <v>6306.105</v>
      </c>
      <c r="G38" s="71" t="n">
        <f aca="false">0.9095*F38</f>
        <v>5735.4024975</v>
      </c>
      <c r="H38" s="93"/>
      <c r="I38" s="93"/>
      <c r="J38" s="93" t="n">
        <v>5735</v>
      </c>
      <c r="K38" s="94" t="n">
        <f aca="false">SUM(H38:J38)</f>
        <v>5735</v>
      </c>
    </row>
    <row r="39" customFormat="false" ht="12.75" hidden="false" customHeight="false" outlineLevel="0" collapsed="false">
      <c r="A39" s="96" t="s">
        <v>49</v>
      </c>
      <c r="B39" s="91" t="n">
        <v>750</v>
      </c>
      <c r="C39" s="61"/>
      <c r="D39" s="61"/>
      <c r="E39" s="17" t="n">
        <v>0.966</v>
      </c>
      <c r="F39" s="35" t="n">
        <f aca="false">+B39*E39</f>
        <v>724.5</v>
      </c>
      <c r="G39" s="71" t="n">
        <f aca="false">0.9*F39</f>
        <v>652.05</v>
      </c>
      <c r="H39" s="93"/>
      <c r="I39" s="93"/>
      <c r="J39" s="93" t="n">
        <v>652</v>
      </c>
      <c r="K39" s="94" t="n">
        <f aca="false">SUM(H39:J39)</f>
        <v>652</v>
      </c>
    </row>
    <row r="40" customFormat="false" ht="12.75" hidden="false" customHeight="false" outlineLevel="0" collapsed="false">
      <c r="A40" s="96" t="s">
        <v>50</v>
      </c>
      <c r="B40" s="91" t="n">
        <v>660</v>
      </c>
      <c r="C40" s="97"/>
      <c r="D40" s="97"/>
      <c r="E40" s="17" t="n">
        <v>0.94</v>
      </c>
      <c r="F40" s="35" t="n">
        <f aca="false">+B40*E40</f>
        <v>620.4</v>
      </c>
      <c r="G40" s="71" t="n">
        <f aca="false">0.8975*F40</f>
        <v>556.809</v>
      </c>
      <c r="H40" s="93"/>
      <c r="I40" s="93"/>
      <c r="J40" s="93" t="n">
        <v>557</v>
      </c>
      <c r="K40" s="94" t="n">
        <f aca="false">SUM(H40:J40)</f>
        <v>557</v>
      </c>
    </row>
    <row r="41" customFormat="false" ht="12.75" hidden="false" customHeight="false" outlineLevel="0" collapsed="false">
      <c r="A41" s="90" t="s">
        <v>51</v>
      </c>
      <c r="B41" s="98" t="n">
        <v>514</v>
      </c>
      <c r="C41" s="97"/>
      <c r="D41" s="97"/>
      <c r="E41" s="17" t="n">
        <v>0.971</v>
      </c>
      <c r="F41" s="35" t="n">
        <f aca="false">+B41*E41</f>
        <v>499.094</v>
      </c>
      <c r="G41" s="71" t="n">
        <f aca="false">0.8975*F41</f>
        <v>447.936865</v>
      </c>
      <c r="H41" s="93"/>
      <c r="I41" s="93"/>
      <c r="J41" s="93" t="n">
        <v>448</v>
      </c>
      <c r="K41" s="94" t="n">
        <f aca="false">SUM(H41:J41)</f>
        <v>448</v>
      </c>
    </row>
    <row r="42" customFormat="false" ht="13.5" hidden="false" customHeight="false" outlineLevel="0" collapsed="false">
      <c r="A42" s="99" t="s">
        <v>52</v>
      </c>
      <c r="B42" s="100" t="n">
        <v>882</v>
      </c>
      <c r="C42" s="101"/>
      <c r="D42" s="101"/>
      <c r="E42" s="101" t="n">
        <v>0.94</v>
      </c>
      <c r="F42" s="45" t="n">
        <f aca="false">+B42*E42</f>
        <v>829.08</v>
      </c>
      <c r="G42" s="102" t="n">
        <f aca="false">0.8917*F42</f>
        <v>739.290636</v>
      </c>
      <c r="H42" s="103"/>
      <c r="I42" s="103" t="n">
        <v>739</v>
      </c>
      <c r="J42" s="103"/>
      <c r="K42" s="104" t="n">
        <f aca="false">SUM(H42:J42)</f>
        <v>739</v>
      </c>
    </row>
    <row r="43" customFormat="false" ht="13.5" hidden="false" customHeight="false" outlineLevel="0" collapsed="false">
      <c r="A43" s="17"/>
      <c r="B43" s="17"/>
      <c r="C43" s="17"/>
      <c r="D43" s="17"/>
      <c r="E43" s="17"/>
      <c r="F43" s="17"/>
      <c r="G43" s="82" t="n">
        <f aca="false">SUM(G36:G42)</f>
        <v>13480.1229529</v>
      </c>
      <c r="H43" s="17"/>
      <c r="I43" s="0" t="n">
        <f aca="false">SUM(I36:I42)</f>
        <v>6088</v>
      </c>
      <c r="J43" s="0" t="n">
        <f aca="false">SUM(J36:J42)</f>
        <v>7392</v>
      </c>
      <c r="K43" s="94" t="n">
        <f aca="false">SUM(K36:K42)</f>
        <v>13480</v>
      </c>
    </row>
    <row r="44" customFormat="false" ht="13.5" hidden="false" customHeight="false" outlineLevel="0" collapsed="false">
      <c r="A44" s="61"/>
      <c r="B44" s="17"/>
      <c r="C44" s="105" t="n">
        <f aca="false">SUM(C37:C43)</f>
        <v>0</v>
      </c>
      <c r="D44" s="106" t="n">
        <f aca="false">SUM(D37:D43)</f>
        <v>0</v>
      </c>
      <c r="E44" s="17"/>
      <c r="F44" s="17"/>
      <c r="G44" s="17"/>
      <c r="H44" s="17"/>
    </row>
    <row r="45" customFormat="false" ht="12.75" hidden="false" customHeight="false" outlineLevel="0" collapsed="false">
      <c r="G45" s="107" t="n">
        <f aca="false">+G43+G30</f>
        <v>59458.1462124975</v>
      </c>
      <c r="K45" s="3" t="s">
        <v>53</v>
      </c>
    </row>
    <row r="46" customFormat="false" ht="12.75" hidden="false" customHeight="false" outlineLevel="0" collapsed="false">
      <c r="K46" s="0" t="n">
        <v>49053</v>
      </c>
      <c r="L46" s="0" t="s">
        <v>39</v>
      </c>
    </row>
    <row r="47" customFormat="false" ht="12.75" hidden="false" customHeight="false" outlineLevel="0" collapsed="false">
      <c r="K47" s="0" t="n">
        <v>980</v>
      </c>
      <c r="L47" s="0" t="s">
        <v>54</v>
      </c>
    </row>
    <row r="48" customFormat="false" ht="12.75" hidden="false" customHeight="false" outlineLevel="0" collapsed="false">
      <c r="K48" s="0" t="n">
        <v>5000</v>
      </c>
      <c r="L48" s="0" t="s">
        <v>55</v>
      </c>
    </row>
    <row r="49" customFormat="false" ht="12.75" hidden="false" customHeight="false" outlineLevel="0" collapsed="false">
      <c r="K49" s="0" t="n">
        <v>5000</v>
      </c>
      <c r="L49" s="0" t="s">
        <v>56</v>
      </c>
    </row>
    <row r="50" customFormat="false" ht="12.75" hidden="false" customHeight="false" outlineLevel="0" collapsed="false">
      <c r="K50" s="108"/>
    </row>
    <row r="52" customFormat="false" ht="12.75" hidden="false" customHeight="false" outlineLevel="0" collapsed="false">
      <c r="K52" s="74" t="n">
        <f aca="false">+K30+K43-SUM(K46:K50)</f>
        <v>-574.97674040249</v>
      </c>
      <c r="L52" s="0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tstaab</cp:lastModifiedBy>
  <cp:lastPrinted>2001-05-30T13:42:16Z</cp:lastPrinted>
  <dcterms:modified xsi:type="dcterms:W3CDTF">2001-05-30T13:54:36Z</dcterms:modified>
  <cp:revision>0</cp:revision>
  <dc:subject/>
  <dc:title/>
</cp:coreProperties>
</file>