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A" sheetId="1" state="visible" r:id="rId3"/>
    <sheet name="PrepayBOND" sheetId="2" state="visible" r:id="rId4"/>
    <sheet name="Sheet1" sheetId="3" state="visible" r:id="rId5"/>
    <sheet name="GNMA graph" sheetId="4" state="visible" r:id="rId6"/>
    <sheet name="GNMA" sheetId="5" state="visible" r:id="rId7"/>
    <sheet name="Total Coupon" sheetId="6" state="visible" r:id="rId8"/>
    <sheet name="IOPO" sheetId="7" state="visible" r:id="rId9"/>
    <sheet name="Tranches" sheetId="8" state="visible" r:id="rId10"/>
    <sheet name="PrepayCTranche" sheetId="9" state="visible" r:id="rId11"/>
    <sheet name="Tranche Payments" sheetId="10" state="visible" r:id="rId12"/>
    <sheet name="Tranche Balances" sheetId="11" state="visible" r:id="rId13"/>
    <sheet name="Sheet4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<sst xmlns="http://schemas.openxmlformats.org/spreadsheetml/2006/main" count="152" uniqueCount="88">
  <si>
    <t xml:space="preserve">Month</t>
  </si>
  <si>
    <t xml:space="preserve">100% PSA</t>
  </si>
  <si>
    <t xml:space="preserve">200% PSA</t>
  </si>
  <si>
    <t xml:space="preserve">500% PSA</t>
  </si>
  <si>
    <t xml:space="preserve">Coupon rate</t>
  </si>
  <si>
    <t xml:space="preserve">Principal</t>
  </si>
  <si>
    <t xml:space="preserve">Payment</t>
  </si>
  <si>
    <t xml:space="preserve">Calc</t>
  </si>
  <si>
    <t xml:space="preserve">Premium</t>
  </si>
  <si>
    <t xml:space="preserve">Discount</t>
  </si>
  <si>
    <t xml:space="preserve">Par</t>
  </si>
  <si>
    <t xml:space="preserve">d</t>
  </si>
  <si>
    <t xml:space="preserve">Interest</t>
  </si>
  <si>
    <t xml:space="preserve">6) CMO example. Underlying pool 10% annual interest rate, 30 year loans</t>
  </si>
  <si>
    <t xml:space="preserve">Pool Interest rate</t>
  </si>
  <si>
    <t xml:space="preserve">% PSA</t>
  </si>
  <si>
    <t xml:space="preserve">Pool Balance</t>
  </si>
  <si>
    <t xml:space="preserve">Residual payment</t>
  </si>
  <si>
    <t xml:space="preserve">Servicing</t>
  </si>
  <si>
    <t xml:space="preserve">A balance</t>
  </si>
  <si>
    <t xml:space="preserve">A interest rate</t>
  </si>
  <si>
    <t xml:space="preserve"> </t>
  </si>
  <si>
    <t xml:space="preserve">B balance</t>
  </si>
  <si>
    <t xml:space="preserve">B interest rate</t>
  </si>
  <si>
    <t xml:space="preserve">C balance</t>
  </si>
  <si>
    <t xml:space="preserve">C interest rate</t>
  </si>
  <si>
    <t xml:space="preserve">Z balance</t>
  </si>
  <si>
    <t xml:space="preserve">Z interest rate</t>
  </si>
  <si>
    <t xml:space="preserve">WHOLE POOL</t>
  </si>
  <si>
    <t xml:space="preserve">Owed to</t>
  </si>
  <si>
    <t xml:space="preserve">Year</t>
  </si>
  <si>
    <t xml:space="preserve">Disc.</t>
  </si>
  <si>
    <t xml:space="preserve">AF</t>
  </si>
  <si>
    <t xml:space="preserve">Prep. %</t>
  </si>
  <si>
    <t xml:space="preserve">Sec</t>
  </si>
  <si>
    <t xml:space="preserve">EOY</t>
  </si>
  <si>
    <t xml:space="preserve">Pool Principal</t>
  </si>
  <si>
    <t xml:space="preserve">P&amp;I Payment</t>
  </si>
  <si>
    <t xml:space="preserve">Unscheduled Prepayment</t>
  </si>
  <si>
    <t xml:space="preserve">Scheduled Payment</t>
  </si>
  <si>
    <t xml:space="preserve">Interest Payment</t>
  </si>
  <si>
    <t xml:space="preserve">A</t>
  </si>
  <si>
    <t xml:space="preserve">B</t>
  </si>
  <si>
    <t xml:space="preserve">C</t>
  </si>
  <si>
    <t xml:space="preserve">Z</t>
  </si>
  <si>
    <t xml:space="preserve">Total Int.</t>
  </si>
  <si>
    <t xml:space="preserve">A-Z Int.</t>
  </si>
  <si>
    <t xml:space="preserve">residual Int.</t>
  </si>
  <si>
    <t xml:space="preserve">WAC on Bonds</t>
  </si>
  <si>
    <t xml:space="preserve">Residual Coup. Diff.</t>
  </si>
  <si>
    <t xml:space="preserve">Coupon C</t>
  </si>
  <si>
    <t xml:space="preserve">PO</t>
  </si>
  <si>
    <t xml:space="preserve">IO</t>
  </si>
  <si>
    <t xml:space="preserve">LIBOR</t>
  </si>
  <si>
    <t xml:space="preserve">Floater</t>
  </si>
  <si>
    <t xml:space="preserve">Inverse Floater</t>
  </si>
  <si>
    <t xml:space="preserve">PO (150)</t>
  </si>
  <si>
    <t xml:space="preserve">IO (90)</t>
  </si>
  <si>
    <t xml:space="preserve">Residual bond</t>
  </si>
  <si>
    <t xml:space="preserve">TRANCHE A</t>
  </si>
  <si>
    <t xml:space="preserve">TRANCHE B</t>
  </si>
  <si>
    <t xml:space="preserve">TRANCHE C</t>
  </si>
  <si>
    <t xml:space="preserve">TRANCHE Z</t>
  </si>
  <si>
    <t xml:space="preserve">RESIDUAL</t>
  </si>
  <si>
    <t xml:space="preserve">Amort.</t>
  </si>
  <si>
    <t xml:space="preserve">Int.</t>
  </si>
  <si>
    <t xml:space="preserve">Accum.</t>
  </si>
  <si>
    <t xml:space="preserve">Total</t>
  </si>
  <si>
    <t xml:space="preserve">Initial</t>
  </si>
  <si>
    <t xml:space="preserve">Pool</t>
  </si>
  <si>
    <t xml:space="preserve">Prep.</t>
  </si>
  <si>
    <t xml:space="preserve">exc. prep</t>
  </si>
  <si>
    <t xml:space="preserve">Net Interest</t>
  </si>
  <si>
    <t xml:space="preserve">Owed</t>
  </si>
  <si>
    <t xml:space="preserve">Expense</t>
  </si>
  <si>
    <t xml:space="preserve">Accrued</t>
  </si>
  <si>
    <t xml:space="preserve">paid</t>
  </si>
  <si>
    <t xml:space="preserve">Paid</t>
  </si>
  <si>
    <t xml:space="preserve">Percent Par</t>
  </si>
  <si>
    <t xml:space="preserve">Bond Face Value</t>
  </si>
  <si>
    <t xml:space="preserve">PSA</t>
  </si>
  <si>
    <t xml:space="preserve">Par Bond</t>
  </si>
  <si>
    <t xml:space="preserve">IRR</t>
  </si>
  <si>
    <t xml:space="preserve">Tranche A</t>
  </si>
  <si>
    <t xml:space="preserve">Tranche B</t>
  </si>
  <si>
    <t xml:space="preserve">Tranche C</t>
  </si>
  <si>
    <t xml:space="preserve">Z Bond</t>
  </si>
  <si>
    <t xml:space="preserve">Residual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</si>
</sst>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%"/>
    <numFmt numFmtId="166" formatCode="0%"/>
    <numFmt numFmtId="167" formatCode="0.000000%"/>
    <numFmt numFmtId="168" formatCode="0.0000%"/>
    <numFmt numFmtId="169" formatCode="\$#,##0"/>
    <numFmt numFmtId="170" formatCode="\$#,##0_);&quot;($&quot;#,##0\)"/>
    <numFmt numFmtId="171" formatCode="0_)"/>
    <numFmt numFmtId="172" formatCode="0.00000_)"/>
    <numFmt numFmtId="173" formatCode="0.000%"/>
    <numFmt numFmtId="174" formatCode="#,##0.0_);\(#,##0.0\)"/>
    <numFmt numFmtId="175" formatCode="0.00000000000000000%"/>
    <numFmt numFmtId="176" formatCode="#,##0"/>
    <numFmt numFmtId="177" formatCode="\$#,##0.00_);&quot;($&quot;#,##0.0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Times New Roman"/>
      <family val="2"/>
    </font>
    <font>
      <b val="true"/>
      <sz val="16"/>
      <color rgb="FF000000"/>
      <name val="Times New Roman"/>
      <family val="2"/>
    </font>
    <font>
      <sz val="16"/>
      <color rgb="FF000000"/>
      <name val="Times New Roman"/>
      <family val="2"/>
    </font>
    <font>
      <sz val="13.5"/>
      <color rgb="FF000000"/>
      <name val="Times New Roman"/>
      <family val="2"/>
    </font>
    <font>
      <b val="true"/>
      <sz val="16.5"/>
      <color rgb="FF000000"/>
      <name val="Times New Roman"/>
      <family val="2"/>
    </font>
    <font>
      <sz val="16.5"/>
      <color rgb="FF000000"/>
      <name val="Times New Roman"/>
      <family val="2"/>
    </font>
    <font>
      <b val="true"/>
      <sz val="10"/>
      <name val="Arial"/>
      <family val="2"/>
    </font>
    <font>
      <b val="true"/>
      <sz val="17"/>
      <color rgb="FF000000"/>
      <name val="Times New Roman"/>
      <family val="2"/>
    </font>
    <font>
      <sz val="17"/>
      <color rgb="FF000000"/>
      <name val="Times New Roman"/>
      <family val="2"/>
    </font>
    <font>
      <b val="true"/>
      <sz val="18.25"/>
      <color rgb="FF000000"/>
      <name val="Times New Roman"/>
      <family val="2"/>
    </font>
    <font>
      <sz val="15.25"/>
      <color rgb="FF000000"/>
      <name val="Times New Roman"/>
      <family val="2"/>
    </font>
    <font>
      <b val="true"/>
      <sz val="15.25"/>
      <color rgb="FF000000"/>
      <name val="Times New Roman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8014664410604"/>
          <c:y val="0.201216702000184"/>
          <c:w val="0.846700507614213"/>
          <c:h val="0.679601806618122"/>
        </c:manualLayout>
      </c:layout>
      <c:lineChart>
        <c:grouping val="standard"/>
        <c:varyColors val="0"/>
        <c:ser>
          <c:idx val="0"/>
          <c:order val="0"/>
          <c:tx>
            <c:strRef>
              <c:f>PSA!$B$1</c:f>
              <c:strCache>
                <c:ptCount val="1"/>
                <c:pt idx="0">
                  <c:v>100% PSA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PSA!$A$2:$A$62</c:f>
              <c:strCach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strCache>
            </c:strRef>
          </c:cat>
          <c:val>
            <c:numRef>
              <c:f>PSA!$B$2:$B$62</c:f>
              <c:numCache>
                <c:formatCode>0.00%</c:formatCode>
                <c:ptCount val="61"/>
                <c:pt idx="0">
                  <c:v>0</c:v>
                </c:pt>
                <c:pt idx="1">
                  <c:v>0.002</c:v>
                </c:pt>
                <c:pt idx="2">
                  <c:v>0.004</c:v>
                </c:pt>
                <c:pt idx="3">
                  <c:v>0.006</c:v>
                </c:pt>
                <c:pt idx="4">
                  <c:v>0.008</c:v>
                </c:pt>
                <c:pt idx="5">
                  <c:v>0.01</c:v>
                </c:pt>
                <c:pt idx="6">
                  <c:v>0.012</c:v>
                </c:pt>
                <c:pt idx="7">
                  <c:v>0.014</c:v>
                </c:pt>
                <c:pt idx="8">
                  <c:v>0.016</c:v>
                </c:pt>
                <c:pt idx="9">
                  <c:v>0.018</c:v>
                </c:pt>
                <c:pt idx="10">
                  <c:v>0.02</c:v>
                </c:pt>
                <c:pt idx="11">
                  <c:v>0.022</c:v>
                </c:pt>
                <c:pt idx="12">
                  <c:v>0.024</c:v>
                </c:pt>
                <c:pt idx="13">
                  <c:v>0.026</c:v>
                </c:pt>
                <c:pt idx="14">
                  <c:v>0.028</c:v>
                </c:pt>
                <c:pt idx="15">
                  <c:v>0.03</c:v>
                </c:pt>
                <c:pt idx="16">
                  <c:v>0.032</c:v>
                </c:pt>
                <c:pt idx="17">
                  <c:v>0.034</c:v>
                </c:pt>
                <c:pt idx="18">
                  <c:v>0.036</c:v>
                </c:pt>
                <c:pt idx="19">
                  <c:v>0.038</c:v>
                </c:pt>
                <c:pt idx="20">
                  <c:v>0.04</c:v>
                </c:pt>
                <c:pt idx="21">
                  <c:v>0.042</c:v>
                </c:pt>
                <c:pt idx="22">
                  <c:v>0.044</c:v>
                </c:pt>
                <c:pt idx="23">
                  <c:v>0.046</c:v>
                </c:pt>
                <c:pt idx="24">
                  <c:v>0.048</c:v>
                </c:pt>
                <c:pt idx="25">
                  <c:v>0.05</c:v>
                </c:pt>
                <c:pt idx="26">
                  <c:v>0.052</c:v>
                </c:pt>
                <c:pt idx="27">
                  <c:v>0.054</c:v>
                </c:pt>
                <c:pt idx="28">
                  <c:v>0.056</c:v>
                </c:pt>
                <c:pt idx="29">
                  <c:v>0.058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0.06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PSA!$A$2:$A$62</c:f>
              <c:strCach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strCache>
            </c:strRef>
          </c:cat>
          <c:smooth val="0"/>
        </c:ser>
        <c:hiLowLines>
          <c:spPr>
            <a:ln w="0">
              <a:noFill/>
            </a:ln>
          </c:spPr>
        </c:hiLowLines>
        <c:marker val="0"/>
        <c:axId val="74984936"/>
        <c:axId val="32427156"/>
      </c:lineChart>
      <c:catAx>
        <c:axId val="749849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427156"/>
        <c:crossesAt val="0"/>
        <c:auto val="1"/>
        <c:lblAlgn val="ctr"/>
        <c:lblOffset val="100"/>
        <c:noMultiLvlLbl val="0"/>
      </c:catAx>
      <c:valAx>
        <c:axId val="324271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CPR (Constant Prepayment Rate)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984936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PrepayCTranche!$D$4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PrepayCTranche!$B$5:$B$25</c:f>
              <c:strCache>
                <c:ptCount val="21"/>
                <c:pt idx="0">
                  <c:v>0%</c:v>
                </c:pt>
                <c:pt idx="1">
                  <c:v>25%</c:v>
                </c:pt>
                <c:pt idx="2">
                  <c:v>50%</c:v>
                </c:pt>
                <c:pt idx="3">
                  <c:v>75%</c:v>
                </c:pt>
                <c:pt idx="4">
                  <c:v>100%</c:v>
                </c:pt>
                <c:pt idx="5">
                  <c:v>125%</c:v>
                </c:pt>
                <c:pt idx="6">
                  <c:v>150%</c:v>
                </c:pt>
                <c:pt idx="7">
                  <c:v>175%</c:v>
                </c:pt>
                <c:pt idx="8">
                  <c:v>200%</c:v>
                </c:pt>
                <c:pt idx="9">
                  <c:v>225%</c:v>
                </c:pt>
                <c:pt idx="10">
                  <c:v>250%</c:v>
                </c:pt>
                <c:pt idx="11">
                  <c:v>275%</c:v>
                </c:pt>
                <c:pt idx="12">
                  <c:v>300%</c:v>
                </c:pt>
                <c:pt idx="13">
                  <c:v>325%</c:v>
                </c:pt>
                <c:pt idx="14">
                  <c:v>350%</c:v>
                </c:pt>
                <c:pt idx="15">
                  <c:v>375%</c:v>
                </c:pt>
                <c:pt idx="16">
                  <c:v>400%</c:v>
                </c:pt>
                <c:pt idx="17">
                  <c:v>425%</c:v>
                </c:pt>
                <c:pt idx="18">
                  <c:v>450%</c:v>
                </c:pt>
                <c:pt idx="19">
                  <c:v>475%</c:v>
                </c:pt>
                <c:pt idx="20">
                  <c:v>500%</c:v>
                </c:pt>
              </c:strCache>
            </c:strRef>
          </c:cat>
          <c:val>
            <c:numRef>
              <c:f>PrepayCTranche!$D$5:$D$25</c:f>
              <c:numCache>
                <c:formatCode>0.00%</c:formatCode>
                <c:ptCount val="21"/>
                <c:pt idx="0">
                  <c:v>0.0479376139903351</c:v>
                </c:pt>
                <c:pt idx="1">
                  <c:v>0.0452897429506429</c:v>
                </c:pt>
                <c:pt idx="2">
                  <c:v>0.0426659093035946</c:v>
                </c:pt>
                <c:pt idx="3">
                  <c:v>0.0398567840358459</c:v>
                </c:pt>
                <c:pt idx="4">
                  <c:v>0.0370592856482858</c:v>
                </c:pt>
                <c:pt idx="5">
                  <c:v>0.0341511825236739</c:v>
                </c:pt>
                <c:pt idx="6">
                  <c:v>0.0312661228062314</c:v>
                </c:pt>
                <c:pt idx="7">
                  <c:v>0.0284813529724383</c:v>
                </c:pt>
                <c:pt idx="8">
                  <c:v>0.0257669250612999</c:v>
                </c:pt>
                <c:pt idx="9">
                  <c:v>0.0228538334404752</c:v>
                </c:pt>
                <c:pt idx="10">
                  <c:v>0.0207835901322242</c:v>
                </c:pt>
                <c:pt idx="11">
                  <c:v>0.0176666607064626</c:v>
                </c:pt>
                <c:pt idx="12">
                  <c:v>0.0151181672242032</c:v>
                </c:pt>
                <c:pt idx="13">
                  <c:v>0.0128938952857231</c:v>
                </c:pt>
                <c:pt idx="14">
                  <c:v>0.0106345169105077</c:v>
                </c:pt>
                <c:pt idx="15">
                  <c:v>0.008146671453987</c:v>
                </c:pt>
                <c:pt idx="16">
                  <c:v>0.00579120290682866</c:v>
                </c:pt>
                <c:pt idx="17">
                  <c:v>0.00337069917810553</c:v>
                </c:pt>
                <c:pt idx="18">
                  <c:v>0.000883604039773507</c:v>
                </c:pt>
                <c:pt idx="19">
                  <c:v>-0.00167174219265578</c:v>
                </c:pt>
                <c:pt idx="20">
                  <c:v>-0.00334989906851209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PrepayCTranche!$E$4</c:f>
              <c:strCache>
                <c:ptCount val="1"/>
                <c:pt idx="0">
                  <c:v>Discount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PrepayCTranche!$B$5:$B$25</c:f>
              <c:strCache>
                <c:ptCount val="21"/>
                <c:pt idx="0">
                  <c:v>0%</c:v>
                </c:pt>
                <c:pt idx="1">
                  <c:v>25%</c:v>
                </c:pt>
                <c:pt idx="2">
                  <c:v>50%</c:v>
                </c:pt>
                <c:pt idx="3">
                  <c:v>75%</c:v>
                </c:pt>
                <c:pt idx="4">
                  <c:v>100%</c:v>
                </c:pt>
                <c:pt idx="5">
                  <c:v>125%</c:v>
                </c:pt>
                <c:pt idx="6">
                  <c:v>150%</c:v>
                </c:pt>
                <c:pt idx="7">
                  <c:v>175%</c:v>
                </c:pt>
                <c:pt idx="8">
                  <c:v>200%</c:v>
                </c:pt>
                <c:pt idx="9">
                  <c:v>225%</c:v>
                </c:pt>
                <c:pt idx="10">
                  <c:v>250%</c:v>
                </c:pt>
                <c:pt idx="11">
                  <c:v>275%</c:v>
                </c:pt>
                <c:pt idx="12">
                  <c:v>300%</c:v>
                </c:pt>
                <c:pt idx="13">
                  <c:v>325%</c:v>
                </c:pt>
                <c:pt idx="14">
                  <c:v>350%</c:v>
                </c:pt>
                <c:pt idx="15">
                  <c:v>375%</c:v>
                </c:pt>
                <c:pt idx="16">
                  <c:v>400%</c:v>
                </c:pt>
                <c:pt idx="17">
                  <c:v>425%</c:v>
                </c:pt>
                <c:pt idx="18">
                  <c:v>450%</c:v>
                </c:pt>
                <c:pt idx="19">
                  <c:v>475%</c:v>
                </c:pt>
                <c:pt idx="20">
                  <c:v>500%</c:v>
                </c:pt>
              </c:strCache>
            </c:strRef>
          </c:cat>
          <c:val>
            <c:numRef>
              <c:f>PrepayCTranche!$E$5:$E$25</c:f>
              <c:numCache>
                <c:formatCode>0.00%</c:formatCode>
                <c:ptCount val="21"/>
                <c:pt idx="0">
                  <c:v>0.112870336884893</c:v>
                </c:pt>
                <c:pt idx="1">
                  <c:v>0.114601494265555</c:v>
                </c:pt>
                <c:pt idx="2">
                  <c:v>0.116354802396872</c:v>
                </c:pt>
                <c:pt idx="3">
                  <c:v>0.118262524353331</c:v>
                </c:pt>
                <c:pt idx="4">
                  <c:v>0.12018183875209</c:v>
                </c:pt>
                <c:pt idx="5">
                  <c:v>0.122210831733257</c:v>
                </c:pt>
                <c:pt idx="6">
                  <c:v>0.124239100588066</c:v>
                </c:pt>
                <c:pt idx="7">
                  <c:v>0.126183061011499</c:v>
                </c:pt>
                <c:pt idx="8">
                  <c:v>0.128148124793704</c:v>
                </c:pt>
                <c:pt idx="9">
                  <c:v>0.130209259889985</c:v>
                </c:pt>
                <c:pt idx="10">
                  <c:v>0.131694500130812</c:v>
                </c:pt>
                <c:pt idx="11">
                  <c:v>0.133978679016273</c:v>
                </c:pt>
                <c:pt idx="12">
                  <c:v>0.135843566382558</c:v>
                </c:pt>
                <c:pt idx="13">
                  <c:v>0.137469043430298</c:v>
                </c:pt>
                <c:pt idx="14">
                  <c:v>0.139081529008955</c:v>
                </c:pt>
                <c:pt idx="15">
                  <c:v>0.140919367872531</c:v>
                </c:pt>
                <c:pt idx="16">
                  <c:v>0.142734419572897</c:v>
                </c:pt>
                <c:pt idx="17">
                  <c:v>0.144568576138178</c:v>
                </c:pt>
                <c:pt idx="18">
                  <c:v>0.146417777644116</c:v>
                </c:pt>
                <c:pt idx="19">
                  <c:v>0.148277728161902</c:v>
                </c:pt>
                <c:pt idx="20">
                  <c:v>0.149524147332204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PrepayCTranche!$F$4</c:f>
              <c:strCache>
                <c:ptCount val="1"/>
                <c:pt idx="0">
                  <c:v>Par Bond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PrepayCTranche!$B$5:$B$25</c:f>
              <c:strCache>
                <c:ptCount val="21"/>
                <c:pt idx="0">
                  <c:v>0%</c:v>
                </c:pt>
                <c:pt idx="1">
                  <c:v>25%</c:v>
                </c:pt>
                <c:pt idx="2">
                  <c:v>50%</c:v>
                </c:pt>
                <c:pt idx="3">
                  <c:v>75%</c:v>
                </c:pt>
                <c:pt idx="4">
                  <c:v>100%</c:v>
                </c:pt>
                <c:pt idx="5">
                  <c:v>125%</c:v>
                </c:pt>
                <c:pt idx="6">
                  <c:v>150%</c:v>
                </c:pt>
                <c:pt idx="7">
                  <c:v>175%</c:v>
                </c:pt>
                <c:pt idx="8">
                  <c:v>200%</c:v>
                </c:pt>
                <c:pt idx="9">
                  <c:v>225%</c:v>
                </c:pt>
                <c:pt idx="10">
                  <c:v>250%</c:v>
                </c:pt>
                <c:pt idx="11">
                  <c:v>275%</c:v>
                </c:pt>
                <c:pt idx="12">
                  <c:v>300%</c:v>
                </c:pt>
                <c:pt idx="13">
                  <c:v>325%</c:v>
                </c:pt>
                <c:pt idx="14">
                  <c:v>350%</c:v>
                </c:pt>
                <c:pt idx="15">
                  <c:v>375%</c:v>
                </c:pt>
                <c:pt idx="16">
                  <c:v>400%</c:v>
                </c:pt>
                <c:pt idx="17">
                  <c:v>425%</c:v>
                </c:pt>
                <c:pt idx="18">
                  <c:v>450%</c:v>
                </c:pt>
                <c:pt idx="19">
                  <c:v>475%</c:v>
                </c:pt>
                <c:pt idx="20">
                  <c:v>500%</c:v>
                </c:pt>
              </c:strCache>
            </c:strRef>
          </c:cat>
          <c:val>
            <c:numRef>
              <c:f>PrepayCTranche!$F$5:$F$25</c:f>
              <c:numCache>
                <c:formatCode>0.00%</c:formatCode>
                <c:ptCount val="21"/>
                <c:pt idx="0">
                  <c:v>0.0850000000000001</c:v>
                </c:pt>
                <c:pt idx="1">
                  <c:v>0.0850000000000001</c:v>
                </c:pt>
                <c:pt idx="2">
                  <c:v>0.0850000000000005</c:v>
                </c:pt>
                <c:pt idx="3">
                  <c:v>0.0850000000000003</c:v>
                </c:pt>
                <c:pt idx="4">
                  <c:v>0.085</c:v>
                </c:pt>
                <c:pt idx="5">
                  <c:v>0.085</c:v>
                </c:pt>
                <c:pt idx="6">
                  <c:v>0.085</c:v>
                </c:pt>
                <c:pt idx="7">
                  <c:v>0.0850000000000001</c:v>
                </c:pt>
                <c:pt idx="8">
                  <c:v>0.0850000000000001</c:v>
                </c:pt>
                <c:pt idx="9">
                  <c:v>0.0849999999999999</c:v>
                </c:pt>
                <c:pt idx="10">
                  <c:v>0.0849999999999999</c:v>
                </c:pt>
                <c:pt idx="11">
                  <c:v>0.0849999999999999</c:v>
                </c:pt>
                <c:pt idx="12">
                  <c:v>0.0850000000000001</c:v>
                </c:pt>
                <c:pt idx="13">
                  <c:v>0.085</c:v>
                </c:pt>
                <c:pt idx="14">
                  <c:v>0.0850000000000001</c:v>
                </c:pt>
                <c:pt idx="15">
                  <c:v>0.085</c:v>
                </c:pt>
                <c:pt idx="16">
                  <c:v>0.0849999999999999</c:v>
                </c:pt>
                <c:pt idx="17">
                  <c:v>0.0850000000000001</c:v>
                </c:pt>
                <c:pt idx="18">
                  <c:v>0.0849999999999999</c:v>
                </c:pt>
                <c:pt idx="19">
                  <c:v>0.0849999999999999</c:v>
                </c:pt>
                <c:pt idx="20">
                  <c:v>0.0849999999999999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974680"/>
        <c:axId val="21902314"/>
      </c:lineChart>
      <c:catAx>
        <c:axId val="409746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PSA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902314"/>
        <c:crossesAt val="0"/>
        <c:auto val="1"/>
        <c:lblAlgn val="ctr"/>
        <c:lblOffset val="100"/>
        <c:noMultiLvlLbl val="0"/>
      </c:catAx>
      <c:valAx>
        <c:axId val="219023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Cash Flow Yield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097468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'Tranche Payments'!$B$4</c:f>
              <c:strCache>
                <c:ptCount val="1"/>
                <c:pt idx="0">
                  <c:v>Tranche A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Payments'!$B$5:$B$34</c:f>
              <c:numCache>
                <c:formatCode>\$#,##0</c:formatCode>
                <c:ptCount val="30"/>
                <c:pt idx="0">
                  <c:v>6136414.91645464</c:v>
                </c:pt>
                <c:pt idx="1">
                  <c:v>8379505.24570115</c:v>
                </c:pt>
                <c:pt idx="2">
                  <c:v>9905165.63177831</c:v>
                </c:pt>
                <c:pt idx="3">
                  <c:v>9211744.96925185</c:v>
                </c:pt>
                <c:pt idx="4">
                  <c:v>3673484.48441324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'Tranche Payments'!$C$4</c:f>
              <c:strCache>
                <c:ptCount val="1"/>
                <c:pt idx="0">
                  <c:v>Tranche B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Payments'!$C$5:$C$34</c:f>
              <c:numCache>
                <c:formatCode>\$#,##0</c:formatCode>
                <c:ptCount val="30"/>
                <c:pt idx="0">
                  <c:v>2475000</c:v>
                </c:pt>
                <c:pt idx="1">
                  <c:v>2475000</c:v>
                </c:pt>
                <c:pt idx="2">
                  <c:v>2475000</c:v>
                </c:pt>
                <c:pt idx="3">
                  <c:v>2475000</c:v>
                </c:pt>
                <c:pt idx="4">
                  <c:v>7106109.03394628</c:v>
                </c:pt>
                <c:pt idx="5">
                  <c:v>9921227.07348744</c:v>
                </c:pt>
                <c:pt idx="6">
                  <c:v>9111538.25739163</c:v>
                </c:pt>
                <c:pt idx="7">
                  <c:v>8355497.34528334</c:v>
                </c:pt>
                <c:pt idx="8">
                  <c:v>2528118.29230997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'Tranche Payments'!$D$4</c:f>
              <c:strCache>
                <c:ptCount val="1"/>
                <c:pt idx="0">
                  <c:v>Tranche C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Payments'!$D$5:$D$34</c:f>
              <c:numCache>
                <c:formatCode>\$#,##0</c:formatCode>
                <c:ptCount val="30"/>
                <c:pt idx="0">
                  <c:v>2125000</c:v>
                </c:pt>
                <c:pt idx="1">
                  <c:v>2125000</c:v>
                </c:pt>
                <c:pt idx="2">
                  <c:v>2125000</c:v>
                </c:pt>
                <c:pt idx="3">
                  <c:v>2125000</c:v>
                </c:pt>
                <c:pt idx="4">
                  <c:v>2125000</c:v>
                </c:pt>
                <c:pt idx="5">
                  <c:v>2125000</c:v>
                </c:pt>
                <c:pt idx="6">
                  <c:v>2125000</c:v>
                </c:pt>
                <c:pt idx="7">
                  <c:v>2125000</c:v>
                </c:pt>
                <c:pt idx="8">
                  <c:v>7246698.38216834</c:v>
                </c:pt>
                <c:pt idx="9">
                  <c:v>9103635.51783167</c:v>
                </c:pt>
                <c:pt idx="10">
                  <c:v>8471188.86645363</c:v>
                </c:pt>
                <c:pt idx="11">
                  <c:v>5482071.23734471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'Tranche Payments'!$E$4</c:f>
              <c:strCache>
                <c:ptCount val="1"/>
                <c:pt idx="0">
                  <c:v>Z Bond</c:v>
                </c:pt>
              </c:strCache>
            </c:strRef>
          </c:tx>
          <c:spPr>
            <a:solidFill>
              <a:srgbClr val="993366"/>
            </a:solidFill>
            <a:ln w="378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Payments'!$E$5:$E$34</c:f>
              <c:numCache>
                <c:formatCode>\$#,##0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2398508.96811663</c:v>
                </c:pt>
                <c:pt idx="12">
                  <c:v>7317274.40790986</c:v>
                </c:pt>
                <c:pt idx="13">
                  <c:v>6765229.80013226</c:v>
                </c:pt>
                <c:pt idx="14">
                  <c:v>6247300.11380494</c:v>
                </c:pt>
                <c:pt idx="15">
                  <c:v>5761230.28572705</c:v>
                </c:pt>
                <c:pt idx="16">
                  <c:v>5304909.31780102</c:v>
                </c:pt>
                <c:pt idx="17">
                  <c:v>4876360.73798434</c:v>
                </c:pt>
                <c:pt idx="18">
                  <c:v>4473733.59642891</c:v>
                </c:pt>
                <c:pt idx="19">
                  <c:v>4095293.91589914</c:v>
                </c:pt>
                <c:pt idx="20">
                  <c:v>3739416.48740069</c:v>
                </c:pt>
                <c:pt idx="21">
                  <c:v>3404576.84528137</c:v>
                </c:pt>
                <c:pt idx="22">
                  <c:v>3089343.13804996</c:v>
                </c:pt>
                <c:pt idx="23">
                  <c:v>2792367.35093433</c:v>
                </c:pt>
                <c:pt idx="24">
                  <c:v>2512374.71512001</c:v>
                </c:pt>
                <c:pt idx="25">
                  <c:v>2248148.49165693</c:v>
                </c:pt>
                <c:pt idx="26">
                  <c:v>1998502.28562045</c:v>
                </c:pt>
                <c:pt idx="27">
                  <c:v>913025.255457121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'Tranche Payments'!$F$4</c:f>
              <c:strCache>
                <c:ptCount val="1"/>
                <c:pt idx="0">
                  <c:v>Residual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Payments'!$F$5:$F$34</c:f>
              <c:numCache>
                <c:formatCode>\$#,##0</c:formatCode>
                <c:ptCount val="30"/>
                <c:pt idx="0">
                  <c:v>1530000</c:v>
                </c:pt>
                <c:pt idx="1">
                  <c:v>1480703.77625318</c:v>
                </c:pt>
                <c:pt idx="2">
                  <c:v>1393884.99966792</c:v>
                </c:pt>
                <c:pt idx="3">
                  <c:v>1277309.39016468</c:v>
                </c:pt>
                <c:pt idx="4">
                  <c:v>1161889.23858907</c:v>
                </c:pt>
                <c:pt idx="5">
                  <c:v>1062507.93369317</c:v>
                </c:pt>
                <c:pt idx="6">
                  <c:v>975039.975778891</c:v>
                </c:pt>
                <c:pt idx="7">
                  <c:v>890554.914375605</c:v>
                </c:pt>
                <c:pt idx="8">
                  <c:v>808635.250001012</c:v>
                </c:pt>
                <c:pt idx="9">
                  <c:v>741675.012136489</c:v>
                </c:pt>
                <c:pt idx="10">
                  <c:v>682195.492969563</c:v>
                </c:pt>
                <c:pt idx="11">
                  <c:v>624057.982585413</c:v>
                </c:pt>
                <c:pt idx="12">
                  <c:v>578957.313793132</c:v>
                </c:pt>
                <c:pt idx="13">
                  <c:v>560277.099994966</c:v>
                </c:pt>
                <c:pt idx="14">
                  <c:v>542675.889993851</c:v>
                </c:pt>
                <c:pt idx="15">
                  <c:v>526080.219524273</c:v>
                </c:pt>
                <c:pt idx="16">
                  <c:v>510421.287852821</c:v>
                </c:pt>
                <c:pt idx="17">
                  <c:v>495634.65717057</c:v>
                </c:pt>
                <c:pt idx="18">
                  <c:v>481659.972626001</c:v>
                </c:pt>
                <c:pt idx="19">
                  <c:v>468440.702180196</c:v>
                </c:pt>
                <c:pt idx="20">
                  <c:v>455923.895796918</c:v>
                </c:pt>
                <c:pt idx="21">
                  <c:v>444059.963981637</c:v>
                </c:pt>
                <c:pt idx="22">
                  <c:v>432802.476513579</c:v>
                </c:pt>
                <c:pt idx="23">
                  <c:v>422107.98370955</c:v>
                </c:pt>
                <c:pt idx="24">
                  <c:v>411935.865488739</c:v>
                </c:pt>
                <c:pt idx="25">
                  <c:v>402248.219807126</c:v>
                </c:pt>
                <c:pt idx="26">
                  <c:v>393009.817131482</c:v>
                </c:pt>
                <c:pt idx="27">
                  <c:v>1233376.197283</c:v>
                </c:pt>
                <c:pt idx="28">
                  <c:v>1913548.13818515</c:v>
                </c:pt>
                <c:pt idx="29">
                  <c:v>1689789.11501689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520510"/>
        <c:axId val="29431172"/>
      </c:lineChart>
      <c:catAx>
        <c:axId val="355205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End-of-Year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9431172"/>
        <c:crossesAt val="0"/>
        <c:auto val="1"/>
        <c:lblAlgn val="ctr"/>
        <c:lblOffset val="100"/>
        <c:noMultiLvlLbl val="0"/>
      </c:catAx>
      <c:valAx>
        <c:axId val="294311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552051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'Tranche Balances'!$B$2</c:f>
              <c:strCache>
                <c:ptCount val="1"/>
                <c:pt idx="0">
                  <c:v>Tranche A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Balances'!$A$3:$A$32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Balances'!$B$3:$B$32</c:f>
              <c:numCache>
                <c:formatCode>\$#,##0</c:formatCode>
                <c:ptCount val="30"/>
                <c:pt idx="0">
                  <c:v>26263585.0835454</c:v>
                </c:pt>
                <c:pt idx="1">
                  <c:v>19985166.6445278</c:v>
                </c:pt>
                <c:pt idx="2">
                  <c:v>11678814.3443118</c:v>
                </c:pt>
                <c:pt idx="3">
                  <c:v>3401374.52260485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'Tranche Balances'!$C$2</c:f>
              <c:strCache>
                <c:ptCount val="1"/>
                <c:pt idx="0">
                  <c:v>Tranche B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Balances'!$A$3:$A$32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Balances'!$C$3:$C$32</c:f>
              <c:numCache>
                <c:formatCode>\$#,##0</c:formatCode>
                <c:ptCount val="30"/>
                <c:pt idx="0">
                  <c:v>30000000</c:v>
                </c:pt>
                <c:pt idx="1">
                  <c:v>30000000</c:v>
                </c:pt>
                <c:pt idx="2">
                  <c:v>30000000</c:v>
                </c:pt>
                <c:pt idx="3">
                  <c:v>30000000</c:v>
                </c:pt>
                <c:pt idx="4">
                  <c:v>25368890.9660537</c:v>
                </c:pt>
                <c:pt idx="5">
                  <c:v>17540597.3972657</c:v>
                </c:pt>
                <c:pt idx="6">
                  <c:v>9876158.42514851</c:v>
                </c:pt>
                <c:pt idx="7">
                  <c:v>2335444.14993992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'Tranche Balances'!$D$2</c:f>
              <c:strCache>
                <c:ptCount val="1"/>
                <c:pt idx="0">
                  <c:v>Tranche C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Balances'!$A$3:$A$32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Balances'!$D$3:$D$32</c:f>
              <c:numCache>
                <c:formatCode>\$#,##0</c:formatCode>
                <c:ptCount val="30"/>
                <c:pt idx="0">
                  <c:v>25000000</c:v>
                </c:pt>
                <c:pt idx="1">
                  <c:v>25000000</c:v>
                </c:pt>
                <c:pt idx="2">
                  <c:v>25000000</c:v>
                </c:pt>
                <c:pt idx="3">
                  <c:v>25000000</c:v>
                </c:pt>
                <c:pt idx="4">
                  <c:v>25000000</c:v>
                </c:pt>
                <c:pt idx="5">
                  <c:v>25000000</c:v>
                </c:pt>
                <c:pt idx="6">
                  <c:v>25000000</c:v>
                </c:pt>
                <c:pt idx="7">
                  <c:v>25000000</c:v>
                </c:pt>
                <c:pt idx="8">
                  <c:v>19878301.6178317</c:v>
                </c:pt>
                <c:pt idx="9">
                  <c:v>12464321.7375157</c:v>
                </c:pt>
                <c:pt idx="10">
                  <c:v>5052600.21875089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'Tranche Balances'!$E$2</c:f>
              <c:strCache>
                <c:ptCount val="1"/>
                <c:pt idx="0">
                  <c:v>Z Bond</c:v>
                </c:pt>
              </c:strCache>
            </c:strRef>
          </c:tx>
          <c:spPr>
            <a:solidFill>
              <a:srgbClr val="993366"/>
            </a:solidFill>
            <a:ln w="378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Balances'!$A$3:$A$32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Balances'!$E$3:$E$32</c:f>
              <c:numCache>
                <c:formatCode>\$#,##0</c:formatCode>
                <c:ptCount val="30"/>
                <c:pt idx="0">
                  <c:v>16350000</c:v>
                </c:pt>
                <c:pt idx="1">
                  <c:v>17821500</c:v>
                </c:pt>
                <c:pt idx="2">
                  <c:v>19425435</c:v>
                </c:pt>
                <c:pt idx="3">
                  <c:v>21173724.15</c:v>
                </c:pt>
                <c:pt idx="4">
                  <c:v>23079359.3235</c:v>
                </c:pt>
                <c:pt idx="5">
                  <c:v>25156501.662615</c:v>
                </c:pt>
                <c:pt idx="6">
                  <c:v>27420586.8122504</c:v>
                </c:pt>
                <c:pt idx="7">
                  <c:v>29888439.6253529</c:v>
                </c:pt>
                <c:pt idx="8">
                  <c:v>32578399.1916346</c:v>
                </c:pt>
                <c:pt idx="9">
                  <c:v>35510455.1188818</c:v>
                </c:pt>
                <c:pt idx="10">
                  <c:v>38706396.0795811</c:v>
                </c:pt>
                <c:pt idx="11">
                  <c:v>39791462.7586268</c:v>
                </c:pt>
                <c:pt idx="12">
                  <c:v>36055419.9989933</c:v>
                </c:pt>
                <c:pt idx="13">
                  <c:v>32535177.9987705</c:v>
                </c:pt>
                <c:pt idx="14">
                  <c:v>29216043.9048549</c:v>
                </c:pt>
                <c:pt idx="15">
                  <c:v>26084257.5705648</c:v>
                </c:pt>
                <c:pt idx="16">
                  <c:v>23126931.4341146</c:v>
                </c:pt>
                <c:pt idx="17">
                  <c:v>20331994.5252005</c:v>
                </c:pt>
                <c:pt idx="18">
                  <c:v>17688140.4360397</c:v>
                </c:pt>
                <c:pt idx="19">
                  <c:v>15184779.1593841</c:v>
                </c:pt>
                <c:pt idx="20">
                  <c:v>12811992.796328</c:v>
                </c:pt>
                <c:pt idx="21">
                  <c:v>10560495.3027161</c:v>
                </c:pt>
                <c:pt idx="22">
                  <c:v>8421596.74191062</c:v>
                </c:pt>
                <c:pt idx="23">
                  <c:v>6387173.09774825</c:v>
                </c:pt>
                <c:pt idx="24">
                  <c:v>4449643.96142559</c:v>
                </c:pt>
                <c:pt idx="25">
                  <c:v>2601963.42629696</c:v>
                </c:pt>
                <c:pt idx="26">
                  <c:v>837637.84904323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138542"/>
        <c:axId val="35925320"/>
      </c:lineChart>
      <c:catAx>
        <c:axId val="851385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End-of-Year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5925320"/>
        <c:crossesAt val="0"/>
        <c:auto val="1"/>
        <c:lblAlgn val="ctr"/>
        <c:lblOffset val="100"/>
        <c:noMultiLvlLbl val="0"/>
      </c:catAx>
      <c:valAx>
        <c:axId val="359253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513854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7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PSA!$B$1</c:f>
              <c:strCache>
                <c:ptCount val="1"/>
                <c:pt idx="0">
                  <c:v>100% PSA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PSA!$B$2:$B$62</c:f>
              <c:numCache>
                <c:formatCode>0.00%</c:formatCode>
                <c:ptCount val="61"/>
                <c:pt idx="0">
                  <c:v>0</c:v>
                </c:pt>
                <c:pt idx="1">
                  <c:v>0.002</c:v>
                </c:pt>
                <c:pt idx="2">
                  <c:v>0.004</c:v>
                </c:pt>
                <c:pt idx="3">
                  <c:v>0.006</c:v>
                </c:pt>
                <c:pt idx="4">
                  <c:v>0.008</c:v>
                </c:pt>
                <c:pt idx="5">
                  <c:v>0.01</c:v>
                </c:pt>
                <c:pt idx="6">
                  <c:v>0.012</c:v>
                </c:pt>
                <c:pt idx="7">
                  <c:v>0.014</c:v>
                </c:pt>
                <c:pt idx="8">
                  <c:v>0.016</c:v>
                </c:pt>
                <c:pt idx="9">
                  <c:v>0.018</c:v>
                </c:pt>
                <c:pt idx="10">
                  <c:v>0.02</c:v>
                </c:pt>
                <c:pt idx="11">
                  <c:v>0.022</c:v>
                </c:pt>
                <c:pt idx="12">
                  <c:v>0.024</c:v>
                </c:pt>
                <c:pt idx="13">
                  <c:v>0.026</c:v>
                </c:pt>
                <c:pt idx="14">
                  <c:v>0.028</c:v>
                </c:pt>
                <c:pt idx="15">
                  <c:v>0.03</c:v>
                </c:pt>
                <c:pt idx="16">
                  <c:v>0.032</c:v>
                </c:pt>
                <c:pt idx="17">
                  <c:v>0.034</c:v>
                </c:pt>
                <c:pt idx="18">
                  <c:v>0.036</c:v>
                </c:pt>
                <c:pt idx="19">
                  <c:v>0.038</c:v>
                </c:pt>
                <c:pt idx="20">
                  <c:v>0.04</c:v>
                </c:pt>
                <c:pt idx="21">
                  <c:v>0.042</c:v>
                </c:pt>
                <c:pt idx="22">
                  <c:v>0.044</c:v>
                </c:pt>
                <c:pt idx="23">
                  <c:v>0.046</c:v>
                </c:pt>
                <c:pt idx="24">
                  <c:v>0.048</c:v>
                </c:pt>
                <c:pt idx="25">
                  <c:v>0.05</c:v>
                </c:pt>
                <c:pt idx="26">
                  <c:v>0.052</c:v>
                </c:pt>
                <c:pt idx="27">
                  <c:v>0.054</c:v>
                </c:pt>
                <c:pt idx="28">
                  <c:v>0.056</c:v>
                </c:pt>
                <c:pt idx="29">
                  <c:v>0.058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0.06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PSA!$C$1</c:f>
              <c:strCache>
                <c:ptCount val="1"/>
                <c:pt idx="0">
                  <c:v>200% PSA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PSA!$C$2:$C$62</c:f>
              <c:numCache>
                <c:formatCode>0.00%</c:formatCode>
                <c:ptCount val="61"/>
                <c:pt idx="0">
                  <c:v>0</c:v>
                </c:pt>
                <c:pt idx="1">
                  <c:v>0.004</c:v>
                </c:pt>
                <c:pt idx="2">
                  <c:v>0.008</c:v>
                </c:pt>
                <c:pt idx="3">
                  <c:v>0.012</c:v>
                </c:pt>
                <c:pt idx="4">
                  <c:v>0.016</c:v>
                </c:pt>
                <c:pt idx="5">
                  <c:v>0.02</c:v>
                </c:pt>
                <c:pt idx="6">
                  <c:v>0.024</c:v>
                </c:pt>
                <c:pt idx="7">
                  <c:v>0.028</c:v>
                </c:pt>
                <c:pt idx="8">
                  <c:v>0.032</c:v>
                </c:pt>
                <c:pt idx="9">
                  <c:v>0.036</c:v>
                </c:pt>
                <c:pt idx="10">
                  <c:v>0.04</c:v>
                </c:pt>
                <c:pt idx="11">
                  <c:v>0.044</c:v>
                </c:pt>
                <c:pt idx="12">
                  <c:v>0.048</c:v>
                </c:pt>
                <c:pt idx="13">
                  <c:v>0.052</c:v>
                </c:pt>
                <c:pt idx="14">
                  <c:v>0.056</c:v>
                </c:pt>
                <c:pt idx="15">
                  <c:v>0.06</c:v>
                </c:pt>
                <c:pt idx="16">
                  <c:v>0.064</c:v>
                </c:pt>
                <c:pt idx="17">
                  <c:v>0.068</c:v>
                </c:pt>
                <c:pt idx="18">
                  <c:v>0.072</c:v>
                </c:pt>
                <c:pt idx="19">
                  <c:v>0.076</c:v>
                </c:pt>
                <c:pt idx="20">
                  <c:v>0.08</c:v>
                </c:pt>
                <c:pt idx="21">
                  <c:v>0.0840000000000001</c:v>
                </c:pt>
                <c:pt idx="22">
                  <c:v>0.0880000000000001</c:v>
                </c:pt>
                <c:pt idx="23">
                  <c:v>0.0920000000000001</c:v>
                </c:pt>
                <c:pt idx="24">
                  <c:v>0.0960000000000001</c:v>
                </c:pt>
                <c:pt idx="25">
                  <c:v>0.1</c:v>
                </c:pt>
                <c:pt idx="26">
                  <c:v>0.104</c:v>
                </c:pt>
                <c:pt idx="27">
                  <c:v>0.108</c:v>
                </c:pt>
                <c:pt idx="28">
                  <c:v>0.112</c:v>
                </c:pt>
                <c:pt idx="29">
                  <c:v>0.116</c:v>
                </c:pt>
                <c:pt idx="30">
                  <c:v>0.12</c:v>
                </c:pt>
                <c:pt idx="31">
                  <c:v>0.12</c:v>
                </c:pt>
                <c:pt idx="32">
                  <c:v>0.12</c:v>
                </c:pt>
                <c:pt idx="33">
                  <c:v>0.12</c:v>
                </c:pt>
                <c:pt idx="34">
                  <c:v>0.12</c:v>
                </c:pt>
                <c:pt idx="35">
                  <c:v>0.12</c:v>
                </c:pt>
                <c:pt idx="36">
                  <c:v>0.12</c:v>
                </c:pt>
                <c:pt idx="37">
                  <c:v>0.12</c:v>
                </c:pt>
                <c:pt idx="38">
                  <c:v>0.12</c:v>
                </c:pt>
                <c:pt idx="39">
                  <c:v>0.12</c:v>
                </c:pt>
                <c:pt idx="40">
                  <c:v>0.12</c:v>
                </c:pt>
                <c:pt idx="41">
                  <c:v>0.12</c:v>
                </c:pt>
                <c:pt idx="42">
                  <c:v>0.12</c:v>
                </c:pt>
                <c:pt idx="43">
                  <c:v>0.12</c:v>
                </c:pt>
                <c:pt idx="44">
                  <c:v>0.12</c:v>
                </c:pt>
                <c:pt idx="45">
                  <c:v>0.12</c:v>
                </c:pt>
                <c:pt idx="46">
                  <c:v>0.12</c:v>
                </c:pt>
                <c:pt idx="47">
                  <c:v>0.12</c:v>
                </c:pt>
                <c:pt idx="48">
                  <c:v>0.12</c:v>
                </c:pt>
                <c:pt idx="49">
                  <c:v>0.12</c:v>
                </c:pt>
                <c:pt idx="50">
                  <c:v>0.12</c:v>
                </c:pt>
                <c:pt idx="51">
                  <c:v>0.12</c:v>
                </c:pt>
                <c:pt idx="52">
                  <c:v>0.12</c:v>
                </c:pt>
                <c:pt idx="53">
                  <c:v>0.12</c:v>
                </c:pt>
                <c:pt idx="54">
                  <c:v>0.12</c:v>
                </c:pt>
                <c:pt idx="55">
                  <c:v>0.12</c:v>
                </c:pt>
                <c:pt idx="56">
                  <c:v>0.12</c:v>
                </c:pt>
                <c:pt idx="57">
                  <c:v>0.12</c:v>
                </c:pt>
                <c:pt idx="58">
                  <c:v>0.12</c:v>
                </c:pt>
                <c:pt idx="59">
                  <c:v>0.12</c:v>
                </c:pt>
                <c:pt idx="60">
                  <c:v>0.12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PSA!$D$1</c:f>
              <c:strCache>
                <c:ptCount val="1"/>
                <c:pt idx="0">
                  <c:v>500% PSA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PSA!$D$2:$D$62</c:f>
              <c:numCache>
                <c:formatCode>0.00%</c:formatCode>
                <c:ptCount val="6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  <c:pt idx="42">
                  <c:v>0.3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</c:v>
                </c:pt>
                <c:pt idx="54">
                  <c:v>0.3</c:v>
                </c:pt>
                <c:pt idx="55">
                  <c:v>0.3</c:v>
                </c:pt>
                <c:pt idx="56">
                  <c:v>0.3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290469"/>
        <c:axId val="8276817"/>
      </c:lineChart>
      <c:catAx>
        <c:axId val="872904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276817"/>
        <c:crossesAt val="0"/>
        <c:auto val="1"/>
        <c:lblAlgn val="ctr"/>
        <c:lblOffset val="100"/>
        <c:noMultiLvlLbl val="0"/>
      </c:catAx>
      <c:valAx>
        <c:axId val="82768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CPR (Constant Prepayment Rate)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729046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PSA!$B$1</c:f>
              <c:strCache>
                <c:ptCount val="1"/>
                <c:pt idx="0">
                  <c:v>100% PSA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PSA!$B$2:$B$62</c:f>
              <c:numCache>
                <c:formatCode>0.00%</c:formatCode>
                <c:ptCount val="61"/>
                <c:pt idx="0">
                  <c:v>0</c:v>
                </c:pt>
                <c:pt idx="1">
                  <c:v>0.002</c:v>
                </c:pt>
                <c:pt idx="2">
                  <c:v>0.004</c:v>
                </c:pt>
                <c:pt idx="3">
                  <c:v>0.006</c:v>
                </c:pt>
                <c:pt idx="4">
                  <c:v>0.008</c:v>
                </c:pt>
                <c:pt idx="5">
                  <c:v>0.01</c:v>
                </c:pt>
                <c:pt idx="6">
                  <c:v>0.012</c:v>
                </c:pt>
                <c:pt idx="7">
                  <c:v>0.014</c:v>
                </c:pt>
                <c:pt idx="8">
                  <c:v>0.016</c:v>
                </c:pt>
                <c:pt idx="9">
                  <c:v>0.018</c:v>
                </c:pt>
                <c:pt idx="10">
                  <c:v>0.02</c:v>
                </c:pt>
                <c:pt idx="11">
                  <c:v>0.022</c:v>
                </c:pt>
                <c:pt idx="12">
                  <c:v>0.024</c:v>
                </c:pt>
                <c:pt idx="13">
                  <c:v>0.026</c:v>
                </c:pt>
                <c:pt idx="14">
                  <c:v>0.028</c:v>
                </c:pt>
                <c:pt idx="15">
                  <c:v>0.03</c:v>
                </c:pt>
                <c:pt idx="16">
                  <c:v>0.032</c:v>
                </c:pt>
                <c:pt idx="17">
                  <c:v>0.034</c:v>
                </c:pt>
                <c:pt idx="18">
                  <c:v>0.036</c:v>
                </c:pt>
                <c:pt idx="19">
                  <c:v>0.038</c:v>
                </c:pt>
                <c:pt idx="20">
                  <c:v>0.04</c:v>
                </c:pt>
                <c:pt idx="21">
                  <c:v>0.042</c:v>
                </c:pt>
                <c:pt idx="22">
                  <c:v>0.044</c:v>
                </c:pt>
                <c:pt idx="23">
                  <c:v>0.046</c:v>
                </c:pt>
                <c:pt idx="24">
                  <c:v>0.048</c:v>
                </c:pt>
                <c:pt idx="25">
                  <c:v>0.05</c:v>
                </c:pt>
                <c:pt idx="26">
                  <c:v>0.052</c:v>
                </c:pt>
                <c:pt idx="27">
                  <c:v>0.054</c:v>
                </c:pt>
                <c:pt idx="28">
                  <c:v>0.056</c:v>
                </c:pt>
                <c:pt idx="29">
                  <c:v>0.058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0.06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PSA!$C$1</c:f>
              <c:strCache>
                <c:ptCount val="1"/>
                <c:pt idx="0">
                  <c:v>200% PSA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PSA!$C$2:$C$62</c:f>
              <c:numCache>
                <c:formatCode>0.00%</c:formatCode>
                <c:ptCount val="61"/>
                <c:pt idx="0">
                  <c:v>0</c:v>
                </c:pt>
                <c:pt idx="1">
                  <c:v>0.004</c:v>
                </c:pt>
                <c:pt idx="2">
                  <c:v>0.008</c:v>
                </c:pt>
                <c:pt idx="3">
                  <c:v>0.012</c:v>
                </c:pt>
                <c:pt idx="4">
                  <c:v>0.016</c:v>
                </c:pt>
                <c:pt idx="5">
                  <c:v>0.02</c:v>
                </c:pt>
                <c:pt idx="6">
                  <c:v>0.024</c:v>
                </c:pt>
                <c:pt idx="7">
                  <c:v>0.028</c:v>
                </c:pt>
                <c:pt idx="8">
                  <c:v>0.032</c:v>
                </c:pt>
                <c:pt idx="9">
                  <c:v>0.036</c:v>
                </c:pt>
                <c:pt idx="10">
                  <c:v>0.04</c:v>
                </c:pt>
                <c:pt idx="11">
                  <c:v>0.044</c:v>
                </c:pt>
                <c:pt idx="12">
                  <c:v>0.048</c:v>
                </c:pt>
                <c:pt idx="13">
                  <c:v>0.052</c:v>
                </c:pt>
                <c:pt idx="14">
                  <c:v>0.056</c:v>
                </c:pt>
                <c:pt idx="15">
                  <c:v>0.06</c:v>
                </c:pt>
                <c:pt idx="16">
                  <c:v>0.064</c:v>
                </c:pt>
                <c:pt idx="17">
                  <c:v>0.068</c:v>
                </c:pt>
                <c:pt idx="18">
                  <c:v>0.072</c:v>
                </c:pt>
                <c:pt idx="19">
                  <c:v>0.076</c:v>
                </c:pt>
                <c:pt idx="20">
                  <c:v>0.08</c:v>
                </c:pt>
                <c:pt idx="21">
                  <c:v>0.0840000000000001</c:v>
                </c:pt>
                <c:pt idx="22">
                  <c:v>0.0880000000000001</c:v>
                </c:pt>
                <c:pt idx="23">
                  <c:v>0.0920000000000001</c:v>
                </c:pt>
                <c:pt idx="24">
                  <c:v>0.0960000000000001</c:v>
                </c:pt>
                <c:pt idx="25">
                  <c:v>0.1</c:v>
                </c:pt>
                <c:pt idx="26">
                  <c:v>0.104</c:v>
                </c:pt>
                <c:pt idx="27">
                  <c:v>0.108</c:v>
                </c:pt>
                <c:pt idx="28">
                  <c:v>0.112</c:v>
                </c:pt>
                <c:pt idx="29">
                  <c:v>0.116</c:v>
                </c:pt>
                <c:pt idx="30">
                  <c:v>0.12</c:v>
                </c:pt>
                <c:pt idx="31">
                  <c:v>0.12</c:v>
                </c:pt>
                <c:pt idx="32">
                  <c:v>0.12</c:v>
                </c:pt>
                <c:pt idx="33">
                  <c:v>0.12</c:v>
                </c:pt>
                <c:pt idx="34">
                  <c:v>0.12</c:v>
                </c:pt>
                <c:pt idx="35">
                  <c:v>0.12</c:v>
                </c:pt>
                <c:pt idx="36">
                  <c:v>0.12</c:v>
                </c:pt>
                <c:pt idx="37">
                  <c:v>0.12</c:v>
                </c:pt>
                <c:pt idx="38">
                  <c:v>0.12</c:v>
                </c:pt>
                <c:pt idx="39">
                  <c:v>0.12</c:v>
                </c:pt>
                <c:pt idx="40">
                  <c:v>0.12</c:v>
                </c:pt>
                <c:pt idx="41">
                  <c:v>0.12</c:v>
                </c:pt>
                <c:pt idx="42">
                  <c:v>0.12</c:v>
                </c:pt>
                <c:pt idx="43">
                  <c:v>0.12</c:v>
                </c:pt>
                <c:pt idx="44">
                  <c:v>0.12</c:v>
                </c:pt>
                <c:pt idx="45">
                  <c:v>0.12</c:v>
                </c:pt>
                <c:pt idx="46">
                  <c:v>0.12</c:v>
                </c:pt>
                <c:pt idx="47">
                  <c:v>0.12</c:v>
                </c:pt>
                <c:pt idx="48">
                  <c:v>0.12</c:v>
                </c:pt>
                <c:pt idx="49">
                  <c:v>0.12</c:v>
                </c:pt>
                <c:pt idx="50">
                  <c:v>0.12</c:v>
                </c:pt>
                <c:pt idx="51">
                  <c:v>0.12</c:v>
                </c:pt>
                <c:pt idx="52">
                  <c:v>0.12</c:v>
                </c:pt>
                <c:pt idx="53">
                  <c:v>0.12</c:v>
                </c:pt>
                <c:pt idx="54">
                  <c:v>0.12</c:v>
                </c:pt>
                <c:pt idx="55">
                  <c:v>0.12</c:v>
                </c:pt>
                <c:pt idx="56">
                  <c:v>0.12</c:v>
                </c:pt>
                <c:pt idx="57">
                  <c:v>0.12</c:v>
                </c:pt>
                <c:pt idx="58">
                  <c:v>0.12</c:v>
                </c:pt>
                <c:pt idx="59">
                  <c:v>0.12</c:v>
                </c:pt>
                <c:pt idx="60">
                  <c:v>0.12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08592"/>
        <c:axId val="47834321"/>
      </c:lineChart>
      <c:catAx>
        <c:axId val="66085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5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3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834321"/>
        <c:crossesAt val="0"/>
        <c:auto val="1"/>
        <c:lblAlgn val="ctr"/>
        <c:lblOffset val="100"/>
        <c:noMultiLvlLbl val="0"/>
      </c:catAx>
      <c:valAx>
        <c:axId val="478343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5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Constant Prepayment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0859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PrepayBOND!$C$5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PrepayBOND!$C$6:$C$25</c:f>
              <c:numCache>
                <c:formatCode>0.000000%</c:formatCode>
                <c:ptCount val="20"/>
                <c:pt idx="0">
                  <c:v>-0.0833333333333315</c:v>
                </c:pt>
                <c:pt idx="1">
                  <c:v>-3.43707532172253E-017</c:v>
                </c:pt>
                <c:pt idx="2">
                  <c:v>0.0293784103140557</c:v>
                </c:pt>
                <c:pt idx="3">
                  <c:v>0.0443376406587214</c:v>
                </c:pt>
                <c:pt idx="4">
                  <c:v>0.0533734246972753</c:v>
                </c:pt>
                <c:pt idx="5">
                  <c:v>0.0594036497659444</c:v>
                </c:pt>
                <c:pt idx="6">
                  <c:v>0.0637003803269131</c:v>
                </c:pt>
                <c:pt idx="7">
                  <c:v>0.0669068264939176</c:v>
                </c:pt>
                <c:pt idx="8">
                  <c:v>0.0693832015695749</c:v>
                </c:pt>
                <c:pt idx="9">
                  <c:v>0.0713469456928974</c:v>
                </c:pt>
                <c:pt idx="10">
                  <c:v>0.072937091533089</c:v>
                </c:pt>
                <c:pt idx="11">
                  <c:v>0.0742466885574453</c:v>
                </c:pt>
                <c:pt idx="12">
                  <c:v>0.0753403656654802</c:v>
                </c:pt>
                <c:pt idx="13">
                  <c:v>0.0762644152068725</c:v>
                </c:pt>
                <c:pt idx="14">
                  <c:v>0.0770528674934849</c:v>
                </c:pt>
                <c:pt idx="15">
                  <c:v>0.0777313001289232</c:v>
                </c:pt>
                <c:pt idx="16">
                  <c:v>0.0783193099643799</c:v>
                </c:pt>
                <c:pt idx="17">
                  <c:v>0.0788321651876263</c:v>
                </c:pt>
                <c:pt idx="18">
                  <c:v>0.0792819381829496</c:v>
                </c:pt>
                <c:pt idx="19">
                  <c:v>0.0796783000831832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PrepayBOND!$D$5</c:f>
              <c:strCache>
                <c:ptCount val="1"/>
                <c:pt idx="0">
                  <c:v>Discount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PrepayBOND!$D$6:$D$25</c:f>
              <c:numCache>
                <c:formatCode>0.000000%</c:formatCode>
                <c:ptCount val="20"/>
                <c:pt idx="0">
                  <c:v>0.374999999999997</c:v>
                </c:pt>
                <c:pt idx="1">
                  <c:v>0.236768389253496</c:v>
                </c:pt>
                <c:pt idx="2">
                  <c:v>0.194063606556439</c:v>
                </c:pt>
                <c:pt idx="3">
                  <c:v>0.173394792923619</c:v>
                </c:pt>
                <c:pt idx="4">
                  <c:v>0.161261756739086</c:v>
                </c:pt>
                <c:pt idx="5">
                  <c:v>0.153320842904681</c:v>
                </c:pt>
                <c:pt idx="6">
                  <c:v>0.147747696791633</c:v>
                </c:pt>
                <c:pt idx="7">
                  <c:v>0.143642084449478</c:v>
                </c:pt>
                <c:pt idx="8">
                  <c:v>0.140508482782341</c:v>
                </c:pt>
                <c:pt idx="9">
                  <c:v>0.138051586118217</c:v>
                </c:pt>
                <c:pt idx="10">
                  <c:v>0.136084423957936</c:v>
                </c:pt>
                <c:pt idx="11">
                  <c:v>0.134482825254007</c:v>
                </c:pt>
                <c:pt idx="12">
                  <c:v>0.133161071103239</c:v>
                </c:pt>
                <c:pt idx="13">
                  <c:v>0.132058061659332</c:v>
                </c:pt>
                <c:pt idx="14">
                  <c:v>0.131129055945322</c:v>
                </c:pt>
                <c:pt idx="15">
                  <c:v>0.130340530200957</c:v>
                </c:pt>
                <c:pt idx="16">
                  <c:v>0.1296668625758</c:v>
                </c:pt>
                <c:pt idx="17">
                  <c:v>0.129088129661262</c:v>
                </c:pt>
                <c:pt idx="18">
                  <c:v>0.128588602877511</c:v>
                </c:pt>
                <c:pt idx="19">
                  <c:v>0.128155698399673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PrepayBOND!$E$5</c:f>
              <c:strCache>
                <c:ptCount val="1"/>
                <c:pt idx="0">
                  <c:v>Par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PrepayBOND!$E$6:$E$25</c:f>
              <c:numCache>
                <c:formatCode>0.000000%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142942"/>
        <c:axId val="79055801"/>
      </c:lineChart>
      <c:catAx>
        <c:axId val="111429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055801"/>
        <c:crossesAt val="0"/>
        <c:auto val="1"/>
        <c:lblAlgn val="ctr"/>
        <c:lblOffset val="100"/>
        <c:noMultiLvlLbl val="0"/>
      </c:catAx>
      <c:valAx>
        <c:axId val="790558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Cash Flow Yield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114294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areaChart>
        <c:grouping val="stacked"/>
        <c:ser>
          <c:idx val="0"/>
          <c:order val="0"/>
          <c:tx>
            <c:strRef>
              <c:f>'GNMA graph'!$B$2</c:f>
              <c:strCache>
                <c:ptCount val="1"/>
                <c:pt idx="0">
                  <c:v>Unscheduled Prepayment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'GNMA graph'!$B$3:$B$32</c:f>
              <c:numCache>
                <c:formatCode>\$#,##0</c:formatCode>
                <c:ptCount val="30"/>
                <c:pt idx="0">
                  <c:v>1240413.09818071</c:v>
                </c:pt>
                <c:pt idx="1">
                  <c:v>3651848.08831603</c:v>
                </c:pt>
                <c:pt idx="2">
                  <c:v>5580935.86111684</c:v>
                </c:pt>
                <c:pt idx="3">
                  <c:v>5443405.13330077</c:v>
                </c:pt>
                <c:pt idx="4">
                  <c:v>5069935.8491996</c:v>
                </c:pt>
                <c:pt idx="5">
                  <c:v>4717281.31295699</c:v>
                </c:pt>
                <c:pt idx="6">
                  <c:v>4384138.46378906</c:v>
                </c:pt>
                <c:pt idx="7">
                  <c:v>4069280.58257793</c:v>
                </c:pt>
                <c:pt idx="8">
                  <c:v>3771552.64874442</c:v>
                </c:pt>
                <c:pt idx="9">
                  <c:v>3489866.97357903</c:v>
                </c:pt>
                <c:pt idx="10">
                  <c:v>3223199.09337139</c:v>
                </c:pt>
                <c:pt idx="11">
                  <c:v>2970583.90667524</c:v>
                </c:pt>
                <c:pt idx="12">
                  <c:v>2731112.04098368</c:v>
                </c:pt>
                <c:pt idx="13">
                  <c:v>2503926.43496971</c:v>
                </c:pt>
                <c:pt idx="14">
                  <c:v>2288219.12327571</c:v>
                </c:pt>
                <c:pt idx="15">
                  <c:v>2083228.21161309</c:v>
                </c:pt>
                <c:pt idx="16">
                  <c:v>1888235.03066519</c:v>
                </c:pt>
                <c:pt idx="17">
                  <c:v>1702561.45797362</c:v>
                </c:pt>
                <c:pt idx="18">
                  <c:v>1525567.39763458</c:v>
                </c:pt>
                <c:pt idx="19">
                  <c:v>1356648.40823863</c:v>
                </c:pt>
                <c:pt idx="20">
                  <c:v>1195233.47005815</c:v>
                </c:pt>
                <c:pt idx="21">
                  <c:v>1040782.88302317</c:v>
                </c:pt>
                <c:pt idx="22">
                  <c:v>892786.287530014</c:v>
                </c:pt>
                <c:pt idx="23">
                  <c:v>750760.800601049</c:v>
                </c:pt>
                <c:pt idx="24">
                  <c:v>614249.260358798</c:v>
                </c:pt>
                <c:pt idx="25">
                  <c:v>482818.572196072</c:v>
                </c:pt>
                <c:pt idx="26">
                  <c:v>356058.150416708</c:v>
                </c:pt>
                <c:pt idx="27">
                  <c:v>233578.449490888</c:v>
                </c:pt>
                <c:pt idx="28">
                  <c:v>115009.57941599</c:v>
                </c:pt>
                <c:pt idx="29">
                  <c:v>0</c:v>
                </c:pt>
              </c:numCache>
            </c:numRef>
          </c:val>
        </c:ser>
        <c:ser>
          <c:idx val="1"/>
          <c:order val="1"/>
          <c:tx>
            <c:strRef>
              <c:f>'GNMA graph'!$C$2</c:f>
              <c:strCache>
                <c:ptCount val="1"/>
                <c:pt idx="0">
                  <c:v>Scheduled Payment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'GNMA graph'!$C$3:$C$32</c:f>
              <c:numCache>
                <c:formatCode>\$#,##0</c:formatCode>
                <c:ptCount val="30"/>
                <c:pt idx="0">
                  <c:v>632241.818273926</c:v>
                </c:pt>
                <c:pt idx="1">
                  <c:v>687120.408100102</c:v>
                </c:pt>
                <c:pt idx="2">
                  <c:v>728622.48074935</c:v>
                </c:pt>
                <c:pt idx="3">
                  <c:v>755399.356916888</c:v>
                </c:pt>
                <c:pt idx="4">
                  <c:v>781082.935052063</c:v>
                </c:pt>
                <c:pt idx="5">
                  <c:v>807639.754843833</c:v>
                </c:pt>
                <c:pt idx="6">
                  <c:v>835099.506508522</c:v>
                </c:pt>
                <c:pt idx="7">
                  <c:v>863492.889729812</c:v>
                </c:pt>
                <c:pt idx="8">
                  <c:v>892851.647980627</c:v>
                </c:pt>
                <c:pt idx="9">
                  <c:v>923208.604011968</c:v>
                </c:pt>
                <c:pt idx="10">
                  <c:v>954597.696548373</c:v>
                </c:pt>
                <c:pt idx="11">
                  <c:v>987054.018231018</c:v>
                </c:pt>
                <c:pt idx="12">
                  <c:v>1020613.85485087</c:v>
                </c:pt>
                <c:pt idx="13">
                  <c:v>1055314.7259158</c:v>
                </c:pt>
                <c:pt idx="14">
                  <c:v>1091195.42659694</c:v>
                </c:pt>
                <c:pt idx="15">
                  <c:v>1128296.07110124</c:v>
                </c:pt>
                <c:pt idx="16">
                  <c:v>1166658.13751868</c:v>
                </c:pt>
                <c:pt idx="17">
                  <c:v>1206324.51419431</c:v>
                </c:pt>
                <c:pt idx="18">
                  <c:v>1247339.54767692</c:v>
                </c:pt>
                <c:pt idx="19">
                  <c:v>1289749.09229794</c:v>
                </c:pt>
                <c:pt idx="20">
                  <c:v>1333600.56143607</c:v>
                </c:pt>
                <c:pt idx="21">
                  <c:v>1378942.98052489</c:v>
                </c:pt>
                <c:pt idx="22">
                  <c:v>1425827.04186274</c:v>
                </c:pt>
                <c:pt idx="23">
                  <c:v>1474305.16128607</c:v>
                </c:pt>
                <c:pt idx="24">
                  <c:v>1524431.5367698</c:v>
                </c:pt>
                <c:pt idx="25">
                  <c:v>1576262.20901997</c:v>
                </c:pt>
                <c:pt idx="26">
                  <c:v>1629855.12412665</c:v>
                </c:pt>
                <c:pt idx="27">
                  <c:v>1685270.19834696</c:v>
                </c:pt>
                <c:pt idx="28">
                  <c:v>1742569.38509075</c:v>
                </c:pt>
                <c:pt idx="29">
                  <c:v>1801816.74418384</c:v>
                </c:pt>
              </c:numCache>
            </c:numRef>
          </c:val>
        </c:ser>
        <c:ser>
          <c:idx val="2"/>
          <c:order val="2"/>
          <c:tx>
            <c:strRef>
              <c:f>'GNMA graph'!$D$2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'GNMA graph'!$D$3:$D$32</c:f>
              <c:numCache>
                <c:formatCode>\$#,##0</c:formatCode>
                <c:ptCount val="30"/>
                <c:pt idx="0">
                  <c:v>10400000</c:v>
                </c:pt>
                <c:pt idx="1">
                  <c:v>10212734.5083545</c:v>
                </c:pt>
                <c:pt idx="2">
                  <c:v>9778837.65871292</c:v>
                </c:pt>
                <c:pt idx="3">
                  <c:v>9147881.8245263</c:v>
                </c:pt>
                <c:pt idx="4">
                  <c:v>8528001.37550454</c:v>
                </c:pt>
                <c:pt idx="5">
                  <c:v>7942899.49707937</c:v>
                </c:pt>
                <c:pt idx="6">
                  <c:v>7390407.39029929</c:v>
                </c:pt>
                <c:pt idx="7">
                  <c:v>6868483.59326953</c:v>
                </c:pt>
                <c:pt idx="8">
                  <c:v>6375206.24603876</c:v>
                </c:pt>
                <c:pt idx="9">
                  <c:v>5908765.81636625</c:v>
                </c:pt>
                <c:pt idx="10">
                  <c:v>5467458.25860715</c:v>
                </c:pt>
                <c:pt idx="11">
                  <c:v>5049678.57961518</c:v>
                </c:pt>
                <c:pt idx="12">
                  <c:v>4653914.78712455</c:v>
                </c:pt>
                <c:pt idx="13">
                  <c:v>4278742.19754109</c:v>
                </c:pt>
                <c:pt idx="14">
                  <c:v>3922818.08145254</c:v>
                </c:pt>
                <c:pt idx="15">
                  <c:v>3584876.62646528</c:v>
                </c:pt>
                <c:pt idx="16">
                  <c:v>3263724.19819385</c:v>
                </c:pt>
                <c:pt idx="17">
                  <c:v>2958234.88137546</c:v>
                </c:pt>
                <c:pt idx="18">
                  <c:v>2667346.28415867</c:v>
                </c:pt>
                <c:pt idx="19">
                  <c:v>2390055.58962752</c:v>
                </c:pt>
                <c:pt idx="20">
                  <c:v>2125415.83957386</c:v>
                </c:pt>
                <c:pt idx="21">
                  <c:v>1872532.43642444</c:v>
                </c:pt>
                <c:pt idx="22">
                  <c:v>1630559.85006963</c:v>
                </c:pt>
                <c:pt idx="23">
                  <c:v>1398698.51713036</c:v>
                </c:pt>
                <c:pt idx="24">
                  <c:v>1176191.92094164</c:v>
                </c:pt>
                <c:pt idx="25">
                  <c:v>962323.841228783</c:v>
                </c:pt>
                <c:pt idx="26">
                  <c:v>756415.763107179</c:v>
                </c:pt>
                <c:pt idx="27">
                  <c:v>557824.435652843</c:v>
                </c:pt>
                <c:pt idx="28">
                  <c:v>365939.570869059</c:v>
                </c:pt>
                <c:pt idx="29">
                  <c:v>180181.674418384</c:v>
                </c:pt>
              </c:numCache>
            </c:numRef>
          </c:val>
        </c:ser>
        <c:ser>
          <c:idx val="3"/>
          <c:order val="3"/>
          <c:tx>
            <c:strRef>
              <c:f>'GNMA graph'!$E$2</c:f>
              <c:strCache>
                <c:ptCount val="1"/>
                <c:pt idx="0">
                  <c:v>Servicing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'GNMA graph'!$E$3:$E$32</c:f>
              <c:numCache>
                <c:formatCode>\$#,##0</c:formatCode>
                <c:ptCount val="30"/>
                <c:pt idx="0">
                  <c:v>520000</c:v>
                </c:pt>
                <c:pt idx="1">
                  <c:v>510636.725417727</c:v>
                </c:pt>
                <c:pt idx="2">
                  <c:v>488941.882935646</c:v>
                </c:pt>
                <c:pt idx="3">
                  <c:v>457394.091226315</c:v>
                </c:pt>
                <c:pt idx="4">
                  <c:v>426400.068775227</c:v>
                </c:pt>
                <c:pt idx="5">
                  <c:v>397144.974853969</c:v>
                </c:pt>
                <c:pt idx="6">
                  <c:v>369520.369514965</c:v>
                </c:pt>
                <c:pt idx="7">
                  <c:v>343424.179663477</c:v>
                </c:pt>
                <c:pt idx="8">
                  <c:v>318760.312301938</c:v>
                </c:pt>
                <c:pt idx="9">
                  <c:v>295438.290818313</c:v>
                </c:pt>
                <c:pt idx="10">
                  <c:v>273372.912930358</c:v>
                </c:pt>
                <c:pt idx="11">
                  <c:v>252483.928980759</c:v>
                </c:pt>
                <c:pt idx="12">
                  <c:v>232695.739356227</c:v>
                </c:pt>
                <c:pt idx="13">
                  <c:v>213937.109877055</c:v>
                </c:pt>
                <c:pt idx="14">
                  <c:v>196140.904072627</c:v>
                </c:pt>
                <c:pt idx="15">
                  <c:v>179243.831323264</c:v>
                </c:pt>
                <c:pt idx="16">
                  <c:v>163186.209909692</c:v>
                </c:pt>
                <c:pt idx="17">
                  <c:v>147911.744068773</c:v>
                </c:pt>
                <c:pt idx="18">
                  <c:v>133367.314207933</c:v>
                </c:pt>
                <c:pt idx="19">
                  <c:v>119502.779481376</c:v>
                </c:pt>
                <c:pt idx="20">
                  <c:v>106270.791978693</c:v>
                </c:pt>
                <c:pt idx="21">
                  <c:v>93626.6218212218</c:v>
                </c:pt>
                <c:pt idx="22">
                  <c:v>81527.9925034815</c:v>
                </c:pt>
                <c:pt idx="23">
                  <c:v>69934.9258565177</c:v>
                </c:pt>
                <c:pt idx="24">
                  <c:v>58809.5960470821</c:v>
                </c:pt>
                <c:pt idx="25">
                  <c:v>48116.1920614392</c:v>
                </c:pt>
                <c:pt idx="26">
                  <c:v>37820.788155359</c:v>
                </c:pt>
                <c:pt idx="27">
                  <c:v>27891.2217826422</c:v>
                </c:pt>
                <c:pt idx="28">
                  <c:v>18296.9785434529</c:v>
                </c:pt>
                <c:pt idx="29">
                  <c:v>9009.08372091921</c:v>
                </c:pt>
              </c:numCache>
            </c:numRef>
          </c:val>
        </c:ser>
        <c:axId val="48531470"/>
        <c:axId val="89823338"/>
      </c:areaChart>
      <c:catAx>
        <c:axId val="485314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823338"/>
        <c:crossesAt val="0"/>
        <c:auto val="1"/>
        <c:lblAlgn val="ctr"/>
        <c:lblOffset val="100"/>
        <c:noMultiLvlLbl val="0"/>
      </c:catAx>
      <c:valAx>
        <c:axId val="898233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53147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areaChart>
        <c:grouping val="stacked"/>
        <c:ser>
          <c:idx val="0"/>
          <c:order val="0"/>
          <c:tx>
            <c:strRef>
              <c:f>'Total Coupon'!$K$3</c:f>
              <c:strCache>
                <c:ptCount val="1"/>
                <c:pt idx="0">
                  <c:v>WAC on Bonds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Coupon'!$J$4:$J$33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'Total Coupon'!$K$4:$K$33</c:f>
              <c:numCache>
                <c:formatCode>0.00%</c:formatCode>
                <c:ptCount val="30"/>
                <c:pt idx="0">
                  <c:v>0.0823529411764706</c:v>
                </c:pt>
                <c:pt idx="1">
                  <c:v>0.0824611269585803</c:v>
                </c:pt>
                <c:pt idx="2">
                  <c:v>0.0826671941791916</c:v>
                </c:pt>
                <c:pt idx="3">
                  <c:v>0.0829994534540949</c:v>
                </c:pt>
                <c:pt idx="4">
                  <c:v>0.0834245769322191</c:v>
                </c:pt>
                <c:pt idx="5">
                  <c:v>0.0837408452678087</c:v>
                </c:pt>
                <c:pt idx="6">
                  <c:v>0.0839691848216503</c:v>
                </c:pt>
                <c:pt idx="7">
                  <c:v>0.0842920551695548</c:v>
                </c:pt>
                <c:pt idx="8">
                  <c:v>0.0847864087979393</c:v>
                </c:pt>
                <c:pt idx="9">
                  <c:v>0.085</c:v>
                </c:pt>
                <c:pt idx="10">
                  <c:v>0.085</c:v>
                </c:pt>
                <c:pt idx="11">
                  <c:v>0.089422678689394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  <c:pt idx="19">
                  <c:v>0.09</c:v>
                </c:pt>
                <c:pt idx="20">
                  <c:v>0.09</c:v>
                </c:pt>
                <c:pt idx="21">
                  <c:v>0.09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0.09</c:v>
                </c:pt>
                <c:pt idx="26">
                  <c:v>0.09</c:v>
                </c:pt>
                <c:pt idx="27">
                  <c:v>0.09</c:v>
                </c:pt>
              </c:numCache>
            </c:numRef>
          </c:val>
        </c:ser>
        <c:ser>
          <c:idx val="1"/>
          <c:order val="1"/>
          <c:tx>
            <c:strRef>
              <c:f>'Total Coupon'!$L$3</c:f>
              <c:strCache>
                <c:ptCount val="1"/>
                <c:pt idx="0">
                  <c:v>Residual Coup. Diff.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Coupon'!$J$4:$J$33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'Total Coupon'!$L$4:$L$33</c:f>
              <c:numCache>
                <c:formatCode>0.00000000000000000%</c:formatCode>
                <c:ptCount val="30"/>
                <c:pt idx="0">
                  <c:v>0.0126470588235294</c:v>
                </c:pt>
                <c:pt idx="1">
                  <c:v>0.0125388730414197</c:v>
                </c:pt>
                <c:pt idx="2">
                  <c:v>0.0123328058208084</c:v>
                </c:pt>
                <c:pt idx="3">
                  <c:v>0.0120005465459051</c:v>
                </c:pt>
                <c:pt idx="4">
                  <c:v>0.0115754230677809</c:v>
                </c:pt>
                <c:pt idx="5">
                  <c:v>0.0112591547321913</c:v>
                </c:pt>
                <c:pt idx="6">
                  <c:v>0.0110308151783497</c:v>
                </c:pt>
                <c:pt idx="7">
                  <c:v>0.0107079448304452</c:v>
                </c:pt>
                <c:pt idx="8">
                  <c:v>0.0102135912020607</c:v>
                </c:pt>
                <c:pt idx="9">
                  <c:v>0.01</c:v>
                </c:pt>
                <c:pt idx="10">
                  <c:v>0.015</c:v>
                </c:pt>
                <c:pt idx="11">
                  <c:v>0.010577321310606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'Total Coupon'!$M$3</c:f>
              <c:strCache>
                <c:ptCount val="1"/>
                <c:pt idx="0">
                  <c:v>Servicing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Coupon'!$J$4:$J$33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'Total Coupon'!$M$4:$M$33</c:f>
              <c:numCache>
                <c:formatCode>0%</c:formatCode>
                <c:ptCount val="30"/>
                <c:pt idx="0">
                  <c:v>0.005</c:v>
                </c:pt>
                <c:pt idx="1">
                  <c:v>0.005</c:v>
                </c:pt>
                <c:pt idx="2">
                  <c:v>0.005</c:v>
                </c:pt>
                <c:pt idx="3">
                  <c:v>0.005</c:v>
                </c:pt>
                <c:pt idx="4">
                  <c:v>0.005</c:v>
                </c:pt>
                <c:pt idx="5">
                  <c:v>0.005</c:v>
                </c:pt>
                <c:pt idx="6">
                  <c:v>0.005</c:v>
                </c:pt>
                <c:pt idx="7">
                  <c:v>0.005</c:v>
                </c:pt>
                <c:pt idx="8">
                  <c:v>0.005</c:v>
                </c:pt>
                <c:pt idx="9">
                  <c:v>0.005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axId val="29551057"/>
        <c:axId val="63401426"/>
      </c:areaChart>
      <c:catAx>
        <c:axId val="295510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401426"/>
        <c:crossesAt val="0"/>
        <c:auto val="1"/>
        <c:lblAlgn val="ctr"/>
        <c:lblOffset val="100"/>
        <c:noMultiLvlLbl val="0"/>
      </c:catAx>
      <c:valAx>
        <c:axId val="63401426"/>
        <c:scaling>
          <c:orientation val="minMax"/>
          <c:max val="0.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Coupon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955105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IOPO!$H$3</c:f>
              <c:strCache>
                <c:ptCount val="1"/>
                <c:pt idx="0">
                  <c:v>PO</c:v>
                </c:pt>
              </c:strCache>
            </c:strRef>
          </c:tx>
          <c:spPr>
            <a:solidFill>
              <a:srgbClr val="3366ff"/>
            </a:solidFill>
            <a:ln w="378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IOPO!$A$5:$A$34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IOPO!$H$5:$H$34</c:f>
              <c:numCache>
                <c:formatCode>#,##0</c:formatCode>
                <c:ptCount val="30"/>
                <c:pt idx="0">
                  <c:v>1872654.91645464</c:v>
                </c:pt>
                <c:pt idx="1">
                  <c:v>4338968.49641613</c:v>
                </c:pt>
                <c:pt idx="2">
                  <c:v>6309558.34186619</c:v>
                </c:pt>
                <c:pt idx="3">
                  <c:v>6198804.49021766</c:v>
                </c:pt>
                <c:pt idx="4">
                  <c:v>5851018.78425166</c:v>
                </c:pt>
                <c:pt idx="5">
                  <c:v>5524921.06780083</c:v>
                </c:pt>
                <c:pt idx="6">
                  <c:v>5219237.97029758</c:v>
                </c:pt>
                <c:pt idx="7">
                  <c:v>4932773.47230774</c:v>
                </c:pt>
                <c:pt idx="8">
                  <c:v>4664404.29672504</c:v>
                </c:pt>
                <c:pt idx="9">
                  <c:v>4413075.577591</c:v>
                </c:pt>
                <c:pt idx="10">
                  <c:v>4177796.78991976</c:v>
                </c:pt>
                <c:pt idx="11">
                  <c:v>3957637.92490626</c:v>
                </c:pt>
                <c:pt idx="12">
                  <c:v>3751725.89583455</c:v>
                </c:pt>
                <c:pt idx="13">
                  <c:v>3559241.16088551</c:v>
                </c:pt>
                <c:pt idx="14">
                  <c:v>3379414.54987265</c:v>
                </c:pt>
                <c:pt idx="15">
                  <c:v>3211524.28271433</c:v>
                </c:pt>
                <c:pt idx="16">
                  <c:v>3054893.16818387</c:v>
                </c:pt>
                <c:pt idx="17">
                  <c:v>2908885.97216793</c:v>
                </c:pt>
                <c:pt idx="18">
                  <c:v>2772906.94531151</c:v>
                </c:pt>
                <c:pt idx="19">
                  <c:v>2646397.50053657</c:v>
                </c:pt>
                <c:pt idx="20">
                  <c:v>2528834.03149422</c:v>
                </c:pt>
                <c:pt idx="21">
                  <c:v>2419725.86354806</c:v>
                </c:pt>
                <c:pt idx="22">
                  <c:v>2318613.32939275</c:v>
                </c:pt>
                <c:pt idx="23">
                  <c:v>2225065.96188712</c:v>
                </c:pt>
                <c:pt idx="24">
                  <c:v>2138680.7971286</c:v>
                </c:pt>
                <c:pt idx="25">
                  <c:v>2059080.78121604</c:v>
                </c:pt>
                <c:pt idx="26">
                  <c:v>1985913.27454336</c:v>
                </c:pt>
                <c:pt idx="27">
                  <c:v>1918848.64783785</c:v>
                </c:pt>
                <c:pt idx="28">
                  <c:v>1857578.96450674</c:v>
                </c:pt>
                <c:pt idx="29">
                  <c:v>1801816.74418384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IOPO!$I$3</c:f>
              <c:strCache>
                <c:ptCount val="1"/>
                <c:pt idx="0">
                  <c:v>IO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IOPO!$A$5:$A$34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IOPO!$I$5:$I$34</c:f>
              <c:numCache>
                <c:formatCode>#,##0</c:formatCode>
                <c:ptCount val="30"/>
                <c:pt idx="0">
                  <c:v>9880000</c:v>
                </c:pt>
                <c:pt idx="1">
                  <c:v>9702097.78293681</c:v>
                </c:pt>
                <c:pt idx="2">
                  <c:v>9289895.77577728</c:v>
                </c:pt>
                <c:pt idx="3">
                  <c:v>8690487.73329999</c:v>
                </c:pt>
                <c:pt idx="4">
                  <c:v>8101601.30672931</c:v>
                </c:pt>
                <c:pt idx="5">
                  <c:v>7545754.5222254</c:v>
                </c:pt>
                <c:pt idx="6">
                  <c:v>7020887.02078433</c:v>
                </c:pt>
                <c:pt idx="7">
                  <c:v>6525059.41360606</c:v>
                </c:pt>
                <c:pt idx="8">
                  <c:v>6056445.93373682</c:v>
                </c:pt>
                <c:pt idx="9">
                  <c:v>5613327.52554794</c:v>
                </c:pt>
                <c:pt idx="10">
                  <c:v>5194085.3456768</c:v>
                </c:pt>
                <c:pt idx="11">
                  <c:v>4797194.65063442</c:v>
                </c:pt>
                <c:pt idx="12">
                  <c:v>4421219.04776832</c:v>
                </c:pt>
                <c:pt idx="13">
                  <c:v>4064805.08766404</c:v>
                </c:pt>
                <c:pt idx="14">
                  <c:v>3726677.17737992</c:v>
                </c:pt>
                <c:pt idx="15">
                  <c:v>3405632.79514201</c:v>
                </c:pt>
                <c:pt idx="16">
                  <c:v>3100537.98828415</c:v>
                </c:pt>
                <c:pt idx="17">
                  <c:v>2810323.13730669</c:v>
                </c:pt>
                <c:pt idx="18">
                  <c:v>2533978.96995073</c:v>
                </c:pt>
                <c:pt idx="19">
                  <c:v>2270552.81014614</c:v>
                </c:pt>
                <c:pt idx="20">
                  <c:v>2019145.04759517</c:v>
                </c:pt>
                <c:pt idx="21">
                  <c:v>1778905.81460321</c:v>
                </c:pt>
                <c:pt idx="22">
                  <c:v>1549031.85756615</c:v>
                </c:pt>
                <c:pt idx="23">
                  <c:v>1328763.59127384</c:v>
                </c:pt>
                <c:pt idx="24">
                  <c:v>1117382.32489456</c:v>
                </c:pt>
                <c:pt idx="25">
                  <c:v>914207.649167344</c:v>
                </c:pt>
                <c:pt idx="26">
                  <c:v>718594.97495182</c:v>
                </c:pt>
                <c:pt idx="27">
                  <c:v>529933.213870201</c:v>
                </c:pt>
                <c:pt idx="28">
                  <c:v>347642.592325606</c:v>
                </c:pt>
                <c:pt idx="29">
                  <c:v>171172.590697465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916068"/>
        <c:axId val="77254171"/>
      </c:lineChart>
      <c:catAx>
        <c:axId val="469160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7254171"/>
        <c:crossesAt val="0"/>
        <c:auto val="1"/>
        <c:lblAlgn val="ctr"/>
        <c:lblOffset val="100"/>
        <c:noMultiLvlLbl val="0"/>
      </c:catAx>
      <c:valAx>
        <c:axId val="772541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Cash Flow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691606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7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IOPO!$C$4</c:f>
              <c:strCache>
                <c:ptCount val="1"/>
                <c:pt idx="0">
                  <c:v>Floater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IOPO!$C$5:$C$34</c:f>
              <c:numCache>
                <c:formatCode>\$#,##0_);"($"#,##0\)</c:formatCode>
                <c:ptCount val="30"/>
                <c:pt idx="0">
                  <c:v>5200000</c:v>
                </c:pt>
                <c:pt idx="1">
                  <c:v>5149452.37515917</c:v>
                </c:pt>
                <c:pt idx="2">
                  <c:v>4975642.85143445</c:v>
                </c:pt>
                <c:pt idx="3">
                  <c:v>4704115.6083396</c:v>
                </c:pt>
                <c:pt idx="4">
                  <c:v>4466550.42053576</c:v>
                </c:pt>
                <c:pt idx="5">
                  <c:v>4230330.0656113</c:v>
                </c:pt>
                <c:pt idx="6">
                  <c:v>3971720.46161059</c:v>
                </c:pt>
                <c:pt idx="7">
                  <c:v>3748986.8246223</c:v>
                </c:pt>
                <c:pt idx="8">
                  <c:v>3517292.89109684</c:v>
                </c:pt>
                <c:pt idx="9">
                  <c:v>3296752.12775527</c:v>
                </c:pt>
                <c:pt idx="10">
                  <c:v>3102537.91243324</c:v>
                </c:pt>
                <c:pt idx="11">
                  <c:v>2895468.61543704</c:v>
                </c:pt>
                <c:pt idx="12">
                  <c:v>2678989.44796426</c:v>
                </c:pt>
                <c:pt idx="13">
                  <c:v>2485922.90077534</c:v>
                </c:pt>
                <c:pt idx="14">
                  <c:v>2284210.48369192</c:v>
                </c:pt>
                <c:pt idx="15">
                  <c:v>2099756.65237042</c:v>
                </c:pt>
                <c:pt idx="16">
                  <c:v>1939521.11584373</c:v>
                </c:pt>
                <c:pt idx="17">
                  <c:v>1765470.90136755</c:v>
                </c:pt>
                <c:pt idx="18">
                  <c:v>1602384.26536454</c:v>
                </c:pt>
                <c:pt idx="19">
                  <c:v>1456945.60101975</c:v>
                </c:pt>
                <c:pt idx="20">
                  <c:v>1303522.78969</c:v>
                </c:pt>
                <c:pt idx="21">
                  <c:v>1161096.4294071</c:v>
                </c:pt>
                <c:pt idx="22">
                  <c:v>1012757.8134398</c:v>
                </c:pt>
                <c:pt idx="23">
                  <c:v>876632.342045102</c:v>
                </c:pt>
                <c:pt idx="24">
                  <c:v>742008.85342042</c:v>
                </c:pt>
                <c:pt idx="25">
                  <c:v>607312.591051981</c:v>
                </c:pt>
                <c:pt idx="26">
                  <c:v>482780.129125324</c:v>
                </c:pt>
                <c:pt idx="27">
                  <c:v>358925.757864937</c:v>
                </c:pt>
                <c:pt idx="28">
                  <c:v>238404.123363385</c:v>
                </c:pt>
                <c:pt idx="29">
                  <c:v>118396.1537962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IOPO!$E$4</c:f>
              <c:strCache>
                <c:ptCount val="1"/>
                <c:pt idx="0">
                  <c:v>Inverse Floater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IOPO!$E$5:$E$34</c:f>
              <c:numCache>
                <c:formatCode>\$#,##0_);"($"#,##0\)</c:formatCode>
                <c:ptCount val="30"/>
                <c:pt idx="0">
                  <c:v>4680000</c:v>
                </c:pt>
                <c:pt idx="1">
                  <c:v>4552645.40777764</c:v>
                </c:pt>
                <c:pt idx="2">
                  <c:v>4314252.92434283</c:v>
                </c:pt>
                <c:pt idx="3">
                  <c:v>3986372.12496039</c:v>
                </c:pt>
                <c:pt idx="4">
                  <c:v>3635050.88619355</c:v>
                </c:pt>
                <c:pt idx="5">
                  <c:v>3315424.4566141</c:v>
                </c:pt>
                <c:pt idx="6">
                  <c:v>3049166.55917374</c:v>
                </c:pt>
                <c:pt idx="7">
                  <c:v>2776072.58898376</c:v>
                </c:pt>
                <c:pt idx="8">
                  <c:v>2539153.04263998</c:v>
                </c:pt>
                <c:pt idx="9">
                  <c:v>2316575.39779267</c:v>
                </c:pt>
                <c:pt idx="10">
                  <c:v>2091547.43324356</c:v>
                </c:pt>
                <c:pt idx="11">
                  <c:v>1901726.03519737</c:v>
                </c:pt>
                <c:pt idx="12">
                  <c:v>1742229.59980406</c:v>
                </c:pt>
                <c:pt idx="13">
                  <c:v>1578882.1868887</c:v>
                </c:pt>
                <c:pt idx="14">
                  <c:v>1442466.69368799</c:v>
                </c:pt>
                <c:pt idx="15">
                  <c:v>1305876.1427716</c:v>
                </c:pt>
                <c:pt idx="16">
                  <c:v>1161016.87244042</c:v>
                </c:pt>
                <c:pt idx="17">
                  <c:v>1044852.23593914</c:v>
                </c:pt>
                <c:pt idx="18">
                  <c:v>931594.704586191</c:v>
                </c:pt>
                <c:pt idx="19">
                  <c:v>813607.209126391</c:v>
                </c:pt>
                <c:pt idx="20">
                  <c:v>715622.257905163</c:v>
                </c:pt>
                <c:pt idx="21">
                  <c:v>617809.385196112</c:v>
                </c:pt>
                <c:pt idx="22">
                  <c:v>536274.044126354</c:v>
                </c:pt>
                <c:pt idx="23">
                  <c:v>452131.249228735</c:v>
                </c:pt>
                <c:pt idx="24">
                  <c:v>375373.471474141</c:v>
                </c:pt>
                <c:pt idx="25">
                  <c:v>306895.058115363</c:v>
                </c:pt>
                <c:pt idx="26">
                  <c:v>235814.845826498</c:v>
                </c:pt>
                <c:pt idx="27">
                  <c:v>171007.456005264</c:v>
                </c:pt>
                <c:pt idx="28">
                  <c:v>109238.468962221</c:v>
                </c:pt>
                <c:pt idx="29">
                  <c:v>52776.4369012662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356200"/>
        <c:axId val="15812207"/>
      </c:lineChart>
      <c:catAx>
        <c:axId val="273562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5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812207"/>
        <c:crossesAt val="0"/>
        <c:auto val="1"/>
        <c:lblAlgn val="ctr"/>
        <c:lblOffset val="100"/>
        <c:noMultiLvlLbl val="0"/>
      </c:catAx>
      <c:valAx>
        <c:axId val="15812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_);&quot;($&quot;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35620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25" strike="noStrike" u="none">
                <a:solidFill>
                  <a:srgbClr val="000000"/>
                </a:solidFill>
                <a:uFillTx/>
                <a:latin typeface="Times New Roman"/>
              </a:rPr>
              <a:t>Simulated LIBOR Index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IOPO!$B$4</c:f>
              <c:strCache>
                <c:ptCount val="1"/>
                <c:pt idx="0">
                  <c:v>LIBOR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square"/>
            <c:size val="8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IOPO!$A$5:$A$34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IOPO!$B$5:$B$34</c:f>
              <c:numCache>
                <c:formatCode>General</c:formatCode>
                <c:ptCount val="30"/>
                <c:pt idx="0">
                  <c:v>0.05</c:v>
                </c:pt>
                <c:pt idx="1">
                  <c:v>0.05042187644207</c:v>
                </c:pt>
                <c:pt idx="2">
                  <c:v>0.0508817410114296</c:v>
                </c:pt>
                <c:pt idx="3">
                  <c:v>0.0514230036917119</c:v>
                </c:pt>
                <c:pt idx="4">
                  <c:v>0.0523751137442975</c:v>
                </c:pt>
                <c:pt idx="5">
                  <c:v>0.0532592671878425</c:v>
                </c:pt>
                <c:pt idx="6">
                  <c:v>0.0537415632435081</c:v>
                </c:pt>
                <c:pt idx="7">
                  <c:v>0.0545824529346762</c:v>
                </c:pt>
                <c:pt idx="8">
                  <c:v>0.0551714368971563</c:v>
                </c:pt>
                <c:pt idx="9">
                  <c:v>0.0557942594141038</c:v>
                </c:pt>
                <c:pt idx="10">
                  <c:v>0.0567455253553891</c:v>
                </c:pt>
                <c:pt idx="11">
                  <c:v>0.0573396617187801</c:v>
                </c:pt>
                <c:pt idx="12">
                  <c:v>0.0575642135815617</c:v>
                </c:pt>
                <c:pt idx="13">
                  <c:v>0.0580993849595321</c:v>
                </c:pt>
                <c:pt idx="14">
                  <c:v>0.0582288150065354</c:v>
                </c:pt>
                <c:pt idx="15">
                  <c:v>0.0585726336261897</c:v>
                </c:pt>
                <c:pt idx="16">
                  <c:v>0.0594266242508197</c:v>
                </c:pt>
                <c:pt idx="17">
                  <c:v>0.0596798757422086</c:v>
                </c:pt>
                <c:pt idx="18">
                  <c:v>0.0600740996728127</c:v>
                </c:pt>
                <c:pt idx="19">
                  <c:v>0.0609586491353036</c:v>
                </c:pt>
                <c:pt idx="20">
                  <c:v>0.0613302472588779</c:v>
                </c:pt>
                <c:pt idx="21">
                  <c:v>0.0620067458817533</c:v>
                </c:pt>
                <c:pt idx="22">
                  <c:v>0.0621110481407074</c:v>
                </c:pt>
                <c:pt idx="23">
                  <c:v>0.0626748603297048</c:v>
                </c:pt>
                <c:pt idx="24">
                  <c:v>0.0630856954727574</c:v>
                </c:pt>
                <c:pt idx="25">
                  <c:v>0.0631089623921724</c:v>
                </c:pt>
                <c:pt idx="26">
                  <c:v>0.0638247049667732</c:v>
                </c:pt>
                <c:pt idx="27">
                  <c:v>0.0643438571214386</c:v>
                </c:pt>
                <c:pt idx="28">
                  <c:v>0.0651484950909262</c:v>
                </c:pt>
                <c:pt idx="29">
                  <c:v>0.0657093204280485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852597"/>
        <c:axId val="57083924"/>
      </c:lineChart>
      <c:catAx>
        <c:axId val="958525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2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Years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5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083924"/>
        <c:crossesAt val="0"/>
        <c:auto val="1"/>
        <c:lblAlgn val="ctr"/>
        <c:lblOffset val="100"/>
        <c:noMultiLvlLbl val="0"/>
      </c:catAx>
      <c:valAx>
        <c:axId val="570839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85259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5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9720</xdr:colOff>
      <xdr:row>0</xdr:row>
      <xdr:rowOff>9360</xdr:rowOff>
    </xdr:from>
    <xdr:to>
      <xdr:col>15</xdr:col>
      <xdr:colOff>10440</xdr:colOff>
      <xdr:row>24</xdr:row>
      <xdr:rowOff>28440</xdr:rowOff>
    </xdr:to>
    <xdr:graphicFrame>
      <xdr:nvGraphicFramePr>
        <xdr:cNvPr id="0" name="Chart 1"/>
        <xdr:cNvGraphicFramePr/>
      </xdr:nvGraphicFramePr>
      <xdr:xfrm>
        <a:off x="3200760" y="9360"/>
        <a:ext cx="638244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39600</xdr:colOff>
      <xdr:row>26</xdr:row>
      <xdr:rowOff>18720</xdr:rowOff>
    </xdr:from>
    <xdr:to>
      <xdr:col>14</xdr:col>
      <xdr:colOff>618840</xdr:colOff>
      <xdr:row>49</xdr:row>
      <xdr:rowOff>152280</xdr:rowOff>
    </xdr:to>
    <xdr:graphicFrame>
      <xdr:nvGraphicFramePr>
        <xdr:cNvPr id="1" name="Chart 2"/>
        <xdr:cNvGraphicFramePr/>
      </xdr:nvGraphicFramePr>
      <xdr:xfrm>
        <a:off x="3230640" y="4228920"/>
        <a:ext cx="6322680" cy="38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19800</xdr:colOff>
      <xdr:row>52</xdr:row>
      <xdr:rowOff>19080</xdr:rowOff>
    </xdr:from>
    <xdr:to>
      <xdr:col>15</xdr:col>
      <xdr:colOff>360</xdr:colOff>
      <xdr:row>76</xdr:row>
      <xdr:rowOff>9720</xdr:rowOff>
    </xdr:to>
    <xdr:graphicFrame>
      <xdr:nvGraphicFramePr>
        <xdr:cNvPr id="2" name="Chart 3"/>
        <xdr:cNvGraphicFramePr/>
      </xdr:nvGraphicFramePr>
      <xdr:xfrm>
        <a:off x="3210840" y="8439120"/>
        <a:ext cx="6362280" cy="387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28</xdr:col>
      <xdr:colOff>20160</xdr:colOff>
      <xdr:row>2</xdr:row>
      <xdr:rowOff>28440</xdr:rowOff>
    </xdr:from>
    <xdr:to>
      <xdr:col>38</xdr:col>
      <xdr:colOff>20880</xdr:colOff>
      <xdr:row>24</xdr:row>
      <xdr:rowOff>162000</xdr:rowOff>
    </xdr:to>
    <xdr:graphicFrame>
      <xdr:nvGraphicFramePr>
        <xdr:cNvPr id="3" name="Chart 1"/>
        <xdr:cNvGraphicFramePr/>
      </xdr:nvGraphicFramePr>
      <xdr:xfrm>
        <a:off x="18847800" y="352440"/>
        <a:ext cx="6382440" cy="369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10080</xdr:colOff>
      <xdr:row>1</xdr:row>
      <xdr:rowOff>28440</xdr:rowOff>
    </xdr:from>
    <xdr:to>
      <xdr:col>17</xdr:col>
      <xdr:colOff>628920</xdr:colOff>
      <xdr:row>24</xdr:row>
      <xdr:rowOff>28440</xdr:rowOff>
    </xdr:to>
    <xdr:graphicFrame>
      <xdr:nvGraphicFramePr>
        <xdr:cNvPr id="4" name="Chart 2"/>
        <xdr:cNvGraphicFramePr/>
      </xdr:nvGraphicFramePr>
      <xdr:xfrm>
        <a:off x="5536440" y="190440"/>
        <a:ext cx="700056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39600</xdr:colOff>
      <xdr:row>2</xdr:row>
      <xdr:rowOff>9360</xdr:rowOff>
    </xdr:from>
    <xdr:to>
      <xdr:col>31</xdr:col>
      <xdr:colOff>628560</xdr:colOff>
      <xdr:row>24</xdr:row>
      <xdr:rowOff>152280</xdr:rowOff>
    </xdr:to>
    <xdr:graphicFrame>
      <xdr:nvGraphicFramePr>
        <xdr:cNvPr id="5" name="Chart 4"/>
        <xdr:cNvGraphicFramePr/>
      </xdr:nvGraphicFramePr>
      <xdr:xfrm>
        <a:off x="15653160" y="333360"/>
        <a:ext cx="6970680" cy="370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0</xdr:row>
      <xdr:rowOff>9360</xdr:rowOff>
    </xdr:from>
    <xdr:to>
      <xdr:col>23</xdr:col>
      <xdr:colOff>360</xdr:colOff>
      <xdr:row>23</xdr:row>
      <xdr:rowOff>9720</xdr:rowOff>
    </xdr:to>
    <xdr:graphicFrame>
      <xdr:nvGraphicFramePr>
        <xdr:cNvPr id="6" name="Chart 1"/>
        <xdr:cNvGraphicFramePr/>
      </xdr:nvGraphicFramePr>
      <xdr:xfrm>
        <a:off x="10328400" y="9360"/>
        <a:ext cx="6382080" cy="372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20160</xdr:colOff>
      <xdr:row>37</xdr:row>
      <xdr:rowOff>9720</xdr:rowOff>
    </xdr:from>
    <xdr:to>
      <xdr:col>7</xdr:col>
      <xdr:colOff>856080</xdr:colOff>
      <xdr:row>59</xdr:row>
      <xdr:rowOff>18720</xdr:rowOff>
    </xdr:to>
    <xdr:graphicFrame>
      <xdr:nvGraphicFramePr>
        <xdr:cNvPr id="7" name="Chart 2"/>
        <xdr:cNvGraphicFramePr/>
      </xdr:nvGraphicFramePr>
      <xdr:xfrm>
        <a:off x="658440" y="6000840"/>
        <a:ext cx="6222600" cy="357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10440</xdr:colOff>
      <xdr:row>61</xdr:row>
      <xdr:rowOff>19080</xdr:rowOff>
    </xdr:from>
    <xdr:to>
      <xdr:col>8</xdr:col>
      <xdr:colOff>720</xdr:colOff>
      <xdr:row>79</xdr:row>
      <xdr:rowOff>9360</xdr:rowOff>
    </xdr:to>
    <xdr:graphicFrame>
      <xdr:nvGraphicFramePr>
        <xdr:cNvPr id="8" name="Chart 3"/>
        <xdr:cNvGraphicFramePr/>
      </xdr:nvGraphicFramePr>
      <xdr:xfrm>
        <a:off x="648720" y="9896400"/>
        <a:ext cx="6242400" cy="29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30</xdr:col>
      <xdr:colOff>10080</xdr:colOff>
      <xdr:row>0</xdr:row>
      <xdr:rowOff>19080</xdr:rowOff>
    </xdr:from>
    <xdr:to>
      <xdr:col>41</xdr:col>
      <xdr:colOff>720</xdr:colOff>
      <xdr:row>24</xdr:row>
      <xdr:rowOff>19080</xdr:rowOff>
    </xdr:to>
    <xdr:graphicFrame>
      <xdr:nvGraphicFramePr>
        <xdr:cNvPr id="9" name="Chart 3"/>
        <xdr:cNvGraphicFramePr/>
      </xdr:nvGraphicFramePr>
      <xdr:xfrm>
        <a:off x="24670800" y="19080"/>
        <a:ext cx="7010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3</xdr:row>
      <xdr:rowOff>19080</xdr:rowOff>
    </xdr:from>
    <xdr:to>
      <xdr:col>17</xdr:col>
      <xdr:colOff>628920</xdr:colOff>
      <xdr:row>25</xdr:row>
      <xdr:rowOff>152280</xdr:rowOff>
    </xdr:to>
    <xdr:graphicFrame>
      <xdr:nvGraphicFramePr>
        <xdr:cNvPr id="10" name="Chart 1"/>
        <xdr:cNvGraphicFramePr/>
      </xdr:nvGraphicFramePr>
      <xdr:xfrm>
        <a:off x="5949000" y="504720"/>
        <a:ext cx="6362640" cy="369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19800</xdr:colOff>
      <xdr:row>1</xdr:row>
      <xdr:rowOff>19080</xdr:rowOff>
    </xdr:from>
    <xdr:to>
      <xdr:col>17</xdr:col>
      <xdr:colOff>720</xdr:colOff>
      <xdr:row>24</xdr:row>
      <xdr:rowOff>9360</xdr:rowOff>
    </xdr:to>
    <xdr:graphicFrame>
      <xdr:nvGraphicFramePr>
        <xdr:cNvPr id="11" name="Chart 1"/>
        <xdr:cNvGraphicFramePr/>
      </xdr:nvGraphicFramePr>
      <xdr:xfrm>
        <a:off x="5073840" y="181080"/>
        <a:ext cx="6362640" cy="3714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A2" s="2" t="n">
        <v>0</v>
      </c>
      <c r="B2" s="3" t="n">
        <v>0</v>
      </c>
      <c r="C2" s="4" t="n">
        <f aca="false">B2*2</f>
        <v>0</v>
      </c>
      <c r="D2" s="4" t="n">
        <f aca="false">B2*5</f>
        <v>0</v>
      </c>
    </row>
    <row r="3" customFormat="false" ht="12.75" hidden="false" customHeight="false" outlineLevel="0" collapsed="false">
      <c r="A3" s="2" t="n">
        <f aca="false">A2+1</f>
        <v>1</v>
      </c>
      <c r="B3" s="3" t="n">
        <f aca="false">MINA(0.06,+B2+0.002)</f>
        <v>0.002</v>
      </c>
      <c r="C3" s="4" t="n">
        <f aca="false">B3*2</f>
        <v>0.004</v>
      </c>
      <c r="D3" s="4" t="n">
        <f aca="false">B3*5</f>
        <v>0.01</v>
      </c>
    </row>
    <row r="4" customFormat="false" ht="12.75" hidden="false" customHeight="false" outlineLevel="0" collapsed="false">
      <c r="A4" s="2" t="n">
        <f aca="false">A3+1</f>
        <v>2</v>
      </c>
      <c r="B4" s="3" t="n">
        <f aca="false">MINA(0.06,+B3+0.002)</f>
        <v>0.004</v>
      </c>
      <c r="C4" s="4" t="n">
        <f aca="false">B4*2</f>
        <v>0.008</v>
      </c>
      <c r="D4" s="4" t="n">
        <f aca="false">B4*5</f>
        <v>0.02</v>
      </c>
    </row>
    <row r="5" customFormat="false" ht="12.75" hidden="false" customHeight="false" outlineLevel="0" collapsed="false">
      <c r="A5" s="2" t="n">
        <f aca="false">A4+1</f>
        <v>3</v>
      </c>
      <c r="B5" s="3" t="n">
        <f aca="false">MINA(0.06,+B4+0.002)</f>
        <v>0.006</v>
      </c>
      <c r="C5" s="4" t="n">
        <f aca="false">B5*2</f>
        <v>0.012</v>
      </c>
      <c r="D5" s="4" t="n">
        <f aca="false">B5*5</f>
        <v>0.03</v>
      </c>
    </row>
    <row r="6" customFormat="false" ht="12.75" hidden="false" customHeight="false" outlineLevel="0" collapsed="false">
      <c r="A6" s="2" t="n">
        <f aca="false">A5+1</f>
        <v>4</v>
      </c>
      <c r="B6" s="3" t="n">
        <f aca="false">MINA(0.06,+B5+0.002)</f>
        <v>0.008</v>
      </c>
      <c r="C6" s="4" t="n">
        <f aca="false">B6*2</f>
        <v>0.016</v>
      </c>
      <c r="D6" s="4" t="n">
        <f aca="false">B6*5</f>
        <v>0.04</v>
      </c>
    </row>
    <row r="7" customFormat="false" ht="12.75" hidden="false" customHeight="false" outlineLevel="0" collapsed="false">
      <c r="A7" s="2" t="n">
        <f aca="false">A6+1</f>
        <v>5</v>
      </c>
      <c r="B7" s="3" t="n">
        <f aca="false">MINA(0.06,+B6+0.002)</f>
        <v>0.01</v>
      </c>
      <c r="C7" s="4" t="n">
        <f aca="false">B7*2</f>
        <v>0.02</v>
      </c>
      <c r="D7" s="4" t="n">
        <f aca="false">B7*5</f>
        <v>0.05</v>
      </c>
    </row>
    <row r="8" customFormat="false" ht="12.75" hidden="false" customHeight="false" outlineLevel="0" collapsed="false">
      <c r="A8" s="2" t="n">
        <f aca="false">A7+1</f>
        <v>6</v>
      </c>
      <c r="B8" s="3" t="n">
        <f aca="false">MINA(0.06,+B7+0.002)</f>
        <v>0.012</v>
      </c>
      <c r="C8" s="4" t="n">
        <f aca="false">B8*2</f>
        <v>0.024</v>
      </c>
      <c r="D8" s="4" t="n">
        <f aca="false">B8*5</f>
        <v>0.06</v>
      </c>
    </row>
    <row r="9" customFormat="false" ht="12.75" hidden="false" customHeight="false" outlineLevel="0" collapsed="false">
      <c r="A9" s="2" t="n">
        <f aca="false">A8+1</f>
        <v>7</v>
      </c>
      <c r="B9" s="3" t="n">
        <f aca="false">MINA(0.06,+B8+0.002)</f>
        <v>0.014</v>
      </c>
      <c r="C9" s="4" t="n">
        <f aca="false">B9*2</f>
        <v>0.028</v>
      </c>
      <c r="D9" s="4" t="n">
        <f aca="false">B9*5</f>
        <v>0.07</v>
      </c>
    </row>
    <row r="10" customFormat="false" ht="12.75" hidden="false" customHeight="false" outlineLevel="0" collapsed="false">
      <c r="A10" s="2" t="n">
        <f aca="false">A9+1</f>
        <v>8</v>
      </c>
      <c r="B10" s="3" t="n">
        <f aca="false">MINA(0.06,+B9+0.002)</f>
        <v>0.016</v>
      </c>
      <c r="C10" s="4" t="n">
        <f aca="false">B10*2</f>
        <v>0.032</v>
      </c>
      <c r="D10" s="4" t="n">
        <f aca="false">B10*5</f>
        <v>0.08</v>
      </c>
    </row>
    <row r="11" customFormat="false" ht="12.75" hidden="false" customHeight="false" outlineLevel="0" collapsed="false">
      <c r="A11" s="2" t="n">
        <f aca="false">A10+1</f>
        <v>9</v>
      </c>
      <c r="B11" s="3" t="n">
        <f aca="false">MINA(0.06,+B10+0.002)</f>
        <v>0.018</v>
      </c>
      <c r="C11" s="4" t="n">
        <f aca="false">B11*2</f>
        <v>0.036</v>
      </c>
      <c r="D11" s="4" t="n">
        <f aca="false">B11*5</f>
        <v>0.09</v>
      </c>
    </row>
    <row r="12" customFormat="false" ht="12.75" hidden="false" customHeight="false" outlineLevel="0" collapsed="false">
      <c r="A12" s="2" t="n">
        <f aca="false">A11+1</f>
        <v>10</v>
      </c>
      <c r="B12" s="3" t="n">
        <f aca="false">MINA(0.06,+B11+0.002)</f>
        <v>0.02</v>
      </c>
      <c r="C12" s="4" t="n">
        <f aca="false">B12*2</f>
        <v>0.04</v>
      </c>
      <c r="D12" s="4" t="n">
        <f aca="false">B12*5</f>
        <v>0.1</v>
      </c>
    </row>
    <row r="13" customFormat="false" ht="12.75" hidden="false" customHeight="false" outlineLevel="0" collapsed="false">
      <c r="A13" s="2" t="n">
        <f aca="false">A12+1</f>
        <v>11</v>
      </c>
      <c r="B13" s="3" t="n">
        <f aca="false">MINA(0.06,+B12+0.002)</f>
        <v>0.022</v>
      </c>
      <c r="C13" s="4" t="n">
        <f aca="false">B13*2</f>
        <v>0.044</v>
      </c>
      <c r="D13" s="4" t="n">
        <f aca="false">B13*5</f>
        <v>0.11</v>
      </c>
    </row>
    <row r="14" customFormat="false" ht="12.75" hidden="false" customHeight="false" outlineLevel="0" collapsed="false">
      <c r="A14" s="2" t="n">
        <f aca="false">A13+1</f>
        <v>12</v>
      </c>
      <c r="B14" s="3" t="n">
        <f aca="false">MINA(0.06,+B13+0.002)</f>
        <v>0.024</v>
      </c>
      <c r="C14" s="4" t="n">
        <f aca="false">B14*2</f>
        <v>0.048</v>
      </c>
      <c r="D14" s="4" t="n">
        <f aca="false">B14*5</f>
        <v>0.12</v>
      </c>
    </row>
    <row r="15" customFormat="false" ht="12.75" hidden="false" customHeight="false" outlineLevel="0" collapsed="false">
      <c r="A15" s="2" t="n">
        <f aca="false">A14+1</f>
        <v>13</v>
      </c>
      <c r="B15" s="3" t="n">
        <f aca="false">MINA(0.06,+B14+0.002)</f>
        <v>0.026</v>
      </c>
      <c r="C15" s="4" t="n">
        <f aca="false">B15*2</f>
        <v>0.052</v>
      </c>
      <c r="D15" s="4" t="n">
        <f aca="false">B15*5</f>
        <v>0.13</v>
      </c>
    </row>
    <row r="16" customFormat="false" ht="12.75" hidden="false" customHeight="false" outlineLevel="0" collapsed="false">
      <c r="A16" s="2" t="n">
        <f aca="false">A15+1</f>
        <v>14</v>
      </c>
      <c r="B16" s="3" t="n">
        <f aca="false">MINA(0.06,+B15+0.002)</f>
        <v>0.028</v>
      </c>
      <c r="C16" s="4" t="n">
        <f aca="false">B16*2</f>
        <v>0.056</v>
      </c>
      <c r="D16" s="4" t="n">
        <f aca="false">B16*5</f>
        <v>0.14</v>
      </c>
    </row>
    <row r="17" customFormat="false" ht="12.75" hidden="false" customHeight="false" outlineLevel="0" collapsed="false">
      <c r="A17" s="2" t="n">
        <f aca="false">A16+1</f>
        <v>15</v>
      </c>
      <c r="B17" s="3" t="n">
        <f aca="false">MINA(0.06,+B16+0.002)</f>
        <v>0.03</v>
      </c>
      <c r="C17" s="4" t="n">
        <f aca="false">B17*2</f>
        <v>0.06</v>
      </c>
      <c r="D17" s="4" t="n">
        <f aca="false">B17*5</f>
        <v>0.15</v>
      </c>
    </row>
    <row r="18" customFormat="false" ht="12.75" hidden="false" customHeight="false" outlineLevel="0" collapsed="false">
      <c r="A18" s="2" t="n">
        <f aca="false">A17+1</f>
        <v>16</v>
      </c>
      <c r="B18" s="3" t="n">
        <f aca="false">MINA(0.06,+B17+0.002)</f>
        <v>0.032</v>
      </c>
      <c r="C18" s="4" t="n">
        <f aca="false">B18*2</f>
        <v>0.064</v>
      </c>
      <c r="D18" s="4" t="n">
        <f aca="false">B18*5</f>
        <v>0.16</v>
      </c>
    </row>
    <row r="19" customFormat="false" ht="12.75" hidden="false" customHeight="false" outlineLevel="0" collapsed="false">
      <c r="A19" s="2" t="n">
        <f aca="false">A18+1</f>
        <v>17</v>
      </c>
      <c r="B19" s="3" t="n">
        <f aca="false">MINA(0.06,+B18+0.002)</f>
        <v>0.034</v>
      </c>
      <c r="C19" s="4" t="n">
        <f aca="false">B19*2</f>
        <v>0.068</v>
      </c>
      <c r="D19" s="4" t="n">
        <f aca="false">B19*5</f>
        <v>0.17</v>
      </c>
    </row>
    <row r="20" customFormat="false" ht="12.75" hidden="false" customHeight="false" outlineLevel="0" collapsed="false">
      <c r="A20" s="2" t="n">
        <f aca="false">A19+1</f>
        <v>18</v>
      </c>
      <c r="B20" s="3" t="n">
        <f aca="false">MINA(0.06,+B19+0.002)</f>
        <v>0.036</v>
      </c>
      <c r="C20" s="4" t="n">
        <f aca="false">B20*2</f>
        <v>0.072</v>
      </c>
      <c r="D20" s="4" t="n">
        <f aca="false">B20*5</f>
        <v>0.18</v>
      </c>
    </row>
    <row r="21" customFormat="false" ht="12.75" hidden="false" customHeight="false" outlineLevel="0" collapsed="false">
      <c r="A21" s="2" t="n">
        <f aca="false">A20+1</f>
        <v>19</v>
      </c>
      <c r="B21" s="3" t="n">
        <f aca="false">MINA(0.06,+B20+0.002)</f>
        <v>0.038</v>
      </c>
      <c r="C21" s="4" t="n">
        <f aca="false">B21*2</f>
        <v>0.076</v>
      </c>
      <c r="D21" s="4" t="n">
        <f aca="false">B21*5</f>
        <v>0.19</v>
      </c>
    </row>
    <row r="22" customFormat="false" ht="12.75" hidden="false" customHeight="false" outlineLevel="0" collapsed="false">
      <c r="A22" s="2" t="n">
        <f aca="false">A21+1</f>
        <v>20</v>
      </c>
      <c r="B22" s="3" t="n">
        <f aca="false">MINA(0.06,+B21+0.002)</f>
        <v>0.04</v>
      </c>
      <c r="C22" s="4" t="n">
        <f aca="false">B22*2</f>
        <v>0.08</v>
      </c>
      <c r="D22" s="4" t="n">
        <f aca="false">B22*5</f>
        <v>0.2</v>
      </c>
    </row>
    <row r="23" customFormat="false" ht="12.75" hidden="false" customHeight="false" outlineLevel="0" collapsed="false">
      <c r="A23" s="2" t="n">
        <f aca="false">A22+1</f>
        <v>21</v>
      </c>
      <c r="B23" s="3" t="n">
        <f aca="false">MINA(0.06,+B22+0.002)</f>
        <v>0.042</v>
      </c>
      <c r="C23" s="4" t="n">
        <f aca="false">B23*2</f>
        <v>0.0840000000000001</v>
      </c>
      <c r="D23" s="4" t="n">
        <f aca="false">B23*5</f>
        <v>0.21</v>
      </c>
    </row>
    <row r="24" customFormat="false" ht="12.75" hidden="false" customHeight="false" outlineLevel="0" collapsed="false">
      <c r="A24" s="2" t="n">
        <f aca="false">A23+1</f>
        <v>22</v>
      </c>
      <c r="B24" s="3" t="n">
        <f aca="false">MINA(0.06,+B23+0.002)</f>
        <v>0.044</v>
      </c>
      <c r="C24" s="4" t="n">
        <f aca="false">B24*2</f>
        <v>0.0880000000000001</v>
      </c>
      <c r="D24" s="4" t="n">
        <f aca="false">B24*5</f>
        <v>0.22</v>
      </c>
    </row>
    <row r="25" customFormat="false" ht="12.75" hidden="false" customHeight="false" outlineLevel="0" collapsed="false">
      <c r="A25" s="2" t="n">
        <f aca="false">A24+1</f>
        <v>23</v>
      </c>
      <c r="B25" s="3" t="n">
        <f aca="false">MINA(0.06,+B24+0.002)</f>
        <v>0.046</v>
      </c>
      <c r="C25" s="4" t="n">
        <f aca="false">B25*2</f>
        <v>0.0920000000000001</v>
      </c>
      <c r="D25" s="4" t="n">
        <f aca="false">B25*5</f>
        <v>0.23</v>
      </c>
    </row>
    <row r="26" customFormat="false" ht="12.75" hidden="false" customHeight="false" outlineLevel="0" collapsed="false">
      <c r="A26" s="2" t="n">
        <f aca="false">A25+1</f>
        <v>24</v>
      </c>
      <c r="B26" s="3" t="n">
        <f aca="false">MINA(0.06,+B25+0.002)</f>
        <v>0.048</v>
      </c>
      <c r="C26" s="4" t="n">
        <f aca="false">B26*2</f>
        <v>0.0960000000000001</v>
      </c>
      <c r="D26" s="4" t="n">
        <f aca="false">B26*5</f>
        <v>0.24</v>
      </c>
    </row>
    <row r="27" customFormat="false" ht="12.75" hidden="false" customHeight="false" outlineLevel="0" collapsed="false">
      <c r="A27" s="2" t="n">
        <f aca="false">A26+1</f>
        <v>25</v>
      </c>
      <c r="B27" s="3" t="n">
        <f aca="false">MINA(0.06,+B26+0.002)</f>
        <v>0.05</v>
      </c>
      <c r="C27" s="4" t="n">
        <f aca="false">B27*2</f>
        <v>0.1</v>
      </c>
      <c r="D27" s="4" t="n">
        <f aca="false">B27*5</f>
        <v>0.25</v>
      </c>
    </row>
    <row r="28" customFormat="false" ht="12.75" hidden="false" customHeight="false" outlineLevel="0" collapsed="false">
      <c r="A28" s="2" t="n">
        <f aca="false">A27+1</f>
        <v>26</v>
      </c>
      <c r="B28" s="3" t="n">
        <f aca="false">MINA(0.06,+B27+0.002)</f>
        <v>0.052</v>
      </c>
      <c r="C28" s="4" t="n">
        <f aca="false">B28*2</f>
        <v>0.104</v>
      </c>
      <c r="D28" s="4" t="n">
        <f aca="false">B28*5</f>
        <v>0.26</v>
      </c>
    </row>
    <row r="29" customFormat="false" ht="12.75" hidden="false" customHeight="false" outlineLevel="0" collapsed="false">
      <c r="A29" s="2" t="n">
        <f aca="false">A28+1</f>
        <v>27</v>
      </c>
      <c r="B29" s="3" t="n">
        <f aca="false">MINA(0.06,+B28+0.002)</f>
        <v>0.054</v>
      </c>
      <c r="C29" s="4" t="n">
        <f aca="false">B29*2</f>
        <v>0.108</v>
      </c>
      <c r="D29" s="4" t="n">
        <f aca="false">B29*5</f>
        <v>0.27</v>
      </c>
    </row>
    <row r="30" customFormat="false" ht="12.75" hidden="false" customHeight="false" outlineLevel="0" collapsed="false">
      <c r="A30" s="2" t="n">
        <f aca="false">A29+1</f>
        <v>28</v>
      </c>
      <c r="B30" s="3" t="n">
        <f aca="false">MINA(0.06,+B29+0.002)</f>
        <v>0.056</v>
      </c>
      <c r="C30" s="4" t="n">
        <f aca="false">B30*2</f>
        <v>0.112</v>
      </c>
      <c r="D30" s="4" t="n">
        <f aca="false">B30*5</f>
        <v>0.28</v>
      </c>
    </row>
    <row r="31" customFormat="false" ht="12.75" hidden="false" customHeight="false" outlineLevel="0" collapsed="false">
      <c r="A31" s="2" t="n">
        <f aca="false">A30+1</f>
        <v>29</v>
      </c>
      <c r="B31" s="3" t="n">
        <f aca="false">MINA(0.06,+B30+0.002)</f>
        <v>0.058</v>
      </c>
      <c r="C31" s="4" t="n">
        <f aca="false">B31*2</f>
        <v>0.116</v>
      </c>
      <c r="D31" s="4" t="n">
        <f aca="false">B31*5</f>
        <v>0.29</v>
      </c>
    </row>
    <row r="32" customFormat="false" ht="12.75" hidden="false" customHeight="false" outlineLevel="0" collapsed="false">
      <c r="A32" s="2" t="n">
        <f aca="false">A31+1</f>
        <v>30</v>
      </c>
      <c r="B32" s="3" t="n">
        <f aca="false">MINA(0.06,+B31+0.002)</f>
        <v>0.06</v>
      </c>
      <c r="C32" s="4" t="n">
        <f aca="false">B32*2</f>
        <v>0.12</v>
      </c>
      <c r="D32" s="4" t="n">
        <f aca="false">B32*5</f>
        <v>0.3</v>
      </c>
    </row>
    <row r="33" customFormat="false" ht="12.75" hidden="false" customHeight="false" outlineLevel="0" collapsed="false">
      <c r="A33" s="2" t="n">
        <f aca="false">A32+1</f>
        <v>31</v>
      </c>
      <c r="B33" s="3" t="n">
        <f aca="false">MINA(0.06,+B32+0.002)</f>
        <v>0.06</v>
      </c>
      <c r="C33" s="4" t="n">
        <f aca="false">B33*2</f>
        <v>0.12</v>
      </c>
      <c r="D33" s="4" t="n">
        <f aca="false">B33*5</f>
        <v>0.3</v>
      </c>
    </row>
    <row r="34" customFormat="false" ht="12.75" hidden="false" customHeight="false" outlineLevel="0" collapsed="false">
      <c r="A34" s="2" t="n">
        <f aca="false">A33+1</f>
        <v>32</v>
      </c>
      <c r="B34" s="3" t="n">
        <f aca="false">MINA(0.06,+B33+0.002)</f>
        <v>0.06</v>
      </c>
      <c r="C34" s="4" t="n">
        <f aca="false">B34*2</f>
        <v>0.12</v>
      </c>
      <c r="D34" s="4" t="n">
        <f aca="false">B34*5</f>
        <v>0.3</v>
      </c>
    </row>
    <row r="35" customFormat="false" ht="12.75" hidden="false" customHeight="false" outlineLevel="0" collapsed="false">
      <c r="A35" s="2" t="n">
        <f aca="false">A34+1</f>
        <v>33</v>
      </c>
      <c r="B35" s="3" t="n">
        <f aca="false">MINA(0.06,+B34+0.002)</f>
        <v>0.06</v>
      </c>
      <c r="C35" s="4" t="n">
        <f aca="false">B35*2</f>
        <v>0.12</v>
      </c>
      <c r="D35" s="4" t="n">
        <f aca="false">B35*5</f>
        <v>0.3</v>
      </c>
    </row>
    <row r="36" customFormat="false" ht="12.75" hidden="false" customHeight="false" outlineLevel="0" collapsed="false">
      <c r="A36" s="2" t="n">
        <f aca="false">A35+1</f>
        <v>34</v>
      </c>
      <c r="B36" s="3" t="n">
        <f aca="false">MINA(0.06,+B35+0.002)</f>
        <v>0.06</v>
      </c>
      <c r="C36" s="4" t="n">
        <f aca="false">B36*2</f>
        <v>0.12</v>
      </c>
      <c r="D36" s="4" t="n">
        <f aca="false">B36*5</f>
        <v>0.3</v>
      </c>
    </row>
    <row r="37" customFormat="false" ht="12.75" hidden="false" customHeight="false" outlineLevel="0" collapsed="false">
      <c r="A37" s="2" t="n">
        <f aca="false">A36+1</f>
        <v>35</v>
      </c>
      <c r="B37" s="3" t="n">
        <f aca="false">MINA(0.06,+B36+0.002)</f>
        <v>0.06</v>
      </c>
      <c r="C37" s="4" t="n">
        <f aca="false">B37*2</f>
        <v>0.12</v>
      </c>
      <c r="D37" s="4" t="n">
        <f aca="false">B37*5</f>
        <v>0.3</v>
      </c>
    </row>
    <row r="38" customFormat="false" ht="12.75" hidden="false" customHeight="false" outlineLevel="0" collapsed="false">
      <c r="A38" s="2" t="n">
        <f aca="false">A37+1</f>
        <v>36</v>
      </c>
      <c r="B38" s="3" t="n">
        <f aca="false">MINA(0.06,+B37+0.002)</f>
        <v>0.06</v>
      </c>
      <c r="C38" s="4" t="n">
        <f aca="false">B38*2</f>
        <v>0.12</v>
      </c>
      <c r="D38" s="4" t="n">
        <f aca="false">B38*5</f>
        <v>0.3</v>
      </c>
    </row>
    <row r="39" customFormat="false" ht="12.75" hidden="false" customHeight="false" outlineLevel="0" collapsed="false">
      <c r="A39" s="2" t="n">
        <f aca="false">A38+1</f>
        <v>37</v>
      </c>
      <c r="B39" s="3" t="n">
        <f aca="false">MINA(0.06,+B38+0.002)</f>
        <v>0.06</v>
      </c>
      <c r="C39" s="4" t="n">
        <f aca="false">B39*2</f>
        <v>0.12</v>
      </c>
      <c r="D39" s="4" t="n">
        <f aca="false">B39*5</f>
        <v>0.3</v>
      </c>
    </row>
    <row r="40" customFormat="false" ht="12.75" hidden="false" customHeight="false" outlineLevel="0" collapsed="false">
      <c r="A40" s="2" t="n">
        <f aca="false">A39+1</f>
        <v>38</v>
      </c>
      <c r="B40" s="3" t="n">
        <f aca="false">MINA(0.06,+B39+0.002)</f>
        <v>0.06</v>
      </c>
      <c r="C40" s="4" t="n">
        <f aca="false">B40*2</f>
        <v>0.12</v>
      </c>
      <c r="D40" s="4" t="n">
        <f aca="false">B40*5</f>
        <v>0.3</v>
      </c>
    </row>
    <row r="41" customFormat="false" ht="12.75" hidden="false" customHeight="false" outlineLevel="0" collapsed="false">
      <c r="A41" s="2" t="n">
        <f aca="false">A40+1</f>
        <v>39</v>
      </c>
      <c r="B41" s="3" t="n">
        <f aca="false">MINA(0.06,+B40+0.002)</f>
        <v>0.06</v>
      </c>
      <c r="C41" s="4" t="n">
        <f aca="false">B41*2</f>
        <v>0.12</v>
      </c>
      <c r="D41" s="4" t="n">
        <f aca="false">B41*5</f>
        <v>0.3</v>
      </c>
    </row>
    <row r="42" customFormat="false" ht="12.75" hidden="false" customHeight="false" outlineLevel="0" collapsed="false">
      <c r="A42" s="2" t="n">
        <f aca="false">A41+1</f>
        <v>40</v>
      </c>
      <c r="B42" s="3" t="n">
        <f aca="false">MINA(0.06,+B41+0.002)</f>
        <v>0.06</v>
      </c>
      <c r="C42" s="4" t="n">
        <f aca="false">B42*2</f>
        <v>0.12</v>
      </c>
      <c r="D42" s="4" t="n">
        <f aca="false">B42*5</f>
        <v>0.3</v>
      </c>
    </row>
    <row r="43" customFormat="false" ht="12.75" hidden="false" customHeight="false" outlineLevel="0" collapsed="false">
      <c r="A43" s="2" t="n">
        <f aca="false">A42+1</f>
        <v>41</v>
      </c>
      <c r="B43" s="3" t="n">
        <f aca="false">MINA(0.06,+B42+0.002)</f>
        <v>0.06</v>
      </c>
      <c r="C43" s="4" t="n">
        <f aca="false">B43*2</f>
        <v>0.12</v>
      </c>
      <c r="D43" s="4" t="n">
        <f aca="false">B43*5</f>
        <v>0.3</v>
      </c>
    </row>
    <row r="44" customFormat="false" ht="12.75" hidden="false" customHeight="false" outlineLevel="0" collapsed="false">
      <c r="A44" s="2" t="n">
        <f aca="false">A43+1</f>
        <v>42</v>
      </c>
      <c r="B44" s="3" t="n">
        <f aca="false">MINA(0.06,+B43+0.002)</f>
        <v>0.06</v>
      </c>
      <c r="C44" s="4" t="n">
        <f aca="false">B44*2</f>
        <v>0.12</v>
      </c>
      <c r="D44" s="4" t="n">
        <f aca="false">B44*5</f>
        <v>0.3</v>
      </c>
    </row>
    <row r="45" customFormat="false" ht="12.75" hidden="false" customHeight="false" outlineLevel="0" collapsed="false">
      <c r="A45" s="2" t="n">
        <f aca="false">A44+1</f>
        <v>43</v>
      </c>
      <c r="B45" s="3" t="n">
        <f aca="false">MINA(0.06,+B44+0.002)</f>
        <v>0.06</v>
      </c>
      <c r="C45" s="4" t="n">
        <f aca="false">B45*2</f>
        <v>0.12</v>
      </c>
      <c r="D45" s="4" t="n">
        <f aca="false">B45*5</f>
        <v>0.3</v>
      </c>
    </row>
    <row r="46" customFormat="false" ht="12.75" hidden="false" customHeight="false" outlineLevel="0" collapsed="false">
      <c r="A46" s="2" t="n">
        <f aca="false">A45+1</f>
        <v>44</v>
      </c>
      <c r="B46" s="3" t="n">
        <f aca="false">MINA(0.06,+B45+0.002)</f>
        <v>0.06</v>
      </c>
      <c r="C46" s="4" t="n">
        <f aca="false">B46*2</f>
        <v>0.12</v>
      </c>
      <c r="D46" s="4" t="n">
        <f aca="false">B46*5</f>
        <v>0.3</v>
      </c>
    </row>
    <row r="47" customFormat="false" ht="12.75" hidden="false" customHeight="false" outlineLevel="0" collapsed="false">
      <c r="A47" s="2" t="n">
        <f aca="false">A46+1</f>
        <v>45</v>
      </c>
      <c r="B47" s="3" t="n">
        <f aca="false">MINA(0.06,+B46+0.002)</f>
        <v>0.06</v>
      </c>
      <c r="C47" s="4" t="n">
        <f aca="false">B47*2</f>
        <v>0.12</v>
      </c>
      <c r="D47" s="4" t="n">
        <f aca="false">B47*5</f>
        <v>0.3</v>
      </c>
    </row>
    <row r="48" customFormat="false" ht="12.75" hidden="false" customHeight="false" outlineLevel="0" collapsed="false">
      <c r="A48" s="2" t="n">
        <f aca="false">A47+1</f>
        <v>46</v>
      </c>
      <c r="B48" s="3" t="n">
        <f aca="false">MINA(0.06,+B47+0.002)</f>
        <v>0.06</v>
      </c>
      <c r="C48" s="4" t="n">
        <f aca="false">B48*2</f>
        <v>0.12</v>
      </c>
      <c r="D48" s="4" t="n">
        <f aca="false">B48*5</f>
        <v>0.3</v>
      </c>
    </row>
    <row r="49" customFormat="false" ht="12.75" hidden="false" customHeight="false" outlineLevel="0" collapsed="false">
      <c r="A49" s="2" t="n">
        <f aca="false">A48+1</f>
        <v>47</v>
      </c>
      <c r="B49" s="3" t="n">
        <f aca="false">MINA(0.06,+B48+0.002)</f>
        <v>0.06</v>
      </c>
      <c r="C49" s="4" t="n">
        <f aca="false">B49*2</f>
        <v>0.12</v>
      </c>
      <c r="D49" s="4" t="n">
        <f aca="false">B49*5</f>
        <v>0.3</v>
      </c>
    </row>
    <row r="50" customFormat="false" ht="12.75" hidden="false" customHeight="false" outlineLevel="0" collapsed="false">
      <c r="A50" s="2" t="n">
        <f aca="false">A49+1</f>
        <v>48</v>
      </c>
      <c r="B50" s="3" t="n">
        <f aca="false">MINA(0.06,+B49+0.002)</f>
        <v>0.06</v>
      </c>
      <c r="C50" s="4" t="n">
        <f aca="false">B50*2</f>
        <v>0.12</v>
      </c>
      <c r="D50" s="4" t="n">
        <f aca="false">B50*5</f>
        <v>0.3</v>
      </c>
    </row>
    <row r="51" customFormat="false" ht="12.75" hidden="false" customHeight="false" outlineLevel="0" collapsed="false">
      <c r="A51" s="2" t="n">
        <f aca="false">A50+1</f>
        <v>49</v>
      </c>
      <c r="B51" s="3" t="n">
        <f aca="false">MINA(0.06,+B50+0.002)</f>
        <v>0.06</v>
      </c>
      <c r="C51" s="4" t="n">
        <f aca="false">B51*2</f>
        <v>0.12</v>
      </c>
      <c r="D51" s="4" t="n">
        <f aca="false">B51*5</f>
        <v>0.3</v>
      </c>
    </row>
    <row r="52" customFormat="false" ht="12.75" hidden="false" customHeight="false" outlineLevel="0" collapsed="false">
      <c r="A52" s="2" t="n">
        <f aca="false">A51+1</f>
        <v>50</v>
      </c>
      <c r="B52" s="3" t="n">
        <f aca="false">MINA(0.06,+B51+0.002)</f>
        <v>0.06</v>
      </c>
      <c r="C52" s="4" t="n">
        <f aca="false">B52*2</f>
        <v>0.12</v>
      </c>
      <c r="D52" s="4" t="n">
        <f aca="false">B52*5</f>
        <v>0.3</v>
      </c>
    </row>
    <row r="53" customFormat="false" ht="12.75" hidden="false" customHeight="false" outlineLevel="0" collapsed="false">
      <c r="A53" s="2" t="n">
        <f aca="false">A52+1</f>
        <v>51</v>
      </c>
      <c r="B53" s="3" t="n">
        <f aca="false">MINA(0.06,+B52+0.002)</f>
        <v>0.06</v>
      </c>
      <c r="C53" s="4" t="n">
        <f aca="false">B53*2</f>
        <v>0.12</v>
      </c>
      <c r="D53" s="4" t="n">
        <f aca="false">B53*5</f>
        <v>0.3</v>
      </c>
    </row>
    <row r="54" customFormat="false" ht="12.75" hidden="false" customHeight="false" outlineLevel="0" collapsed="false">
      <c r="A54" s="2" t="n">
        <f aca="false">A53+1</f>
        <v>52</v>
      </c>
      <c r="B54" s="3" t="n">
        <f aca="false">MINA(0.06,+B53+0.002)</f>
        <v>0.06</v>
      </c>
      <c r="C54" s="4" t="n">
        <f aca="false">B54*2</f>
        <v>0.12</v>
      </c>
      <c r="D54" s="4" t="n">
        <f aca="false">B54*5</f>
        <v>0.3</v>
      </c>
    </row>
    <row r="55" customFormat="false" ht="12.75" hidden="false" customHeight="false" outlineLevel="0" collapsed="false">
      <c r="A55" s="2" t="n">
        <f aca="false">A54+1</f>
        <v>53</v>
      </c>
      <c r="B55" s="3" t="n">
        <f aca="false">MINA(0.06,+B54+0.002)</f>
        <v>0.06</v>
      </c>
      <c r="C55" s="4" t="n">
        <f aca="false">B55*2</f>
        <v>0.12</v>
      </c>
      <c r="D55" s="4" t="n">
        <f aca="false">B55*5</f>
        <v>0.3</v>
      </c>
    </row>
    <row r="56" customFormat="false" ht="12.75" hidden="false" customHeight="false" outlineLevel="0" collapsed="false">
      <c r="A56" s="2" t="n">
        <f aca="false">A55+1</f>
        <v>54</v>
      </c>
      <c r="B56" s="3" t="n">
        <f aca="false">MINA(0.06,+B55+0.002)</f>
        <v>0.06</v>
      </c>
      <c r="C56" s="4" t="n">
        <f aca="false">B56*2</f>
        <v>0.12</v>
      </c>
      <c r="D56" s="4" t="n">
        <f aca="false">B56*5</f>
        <v>0.3</v>
      </c>
    </row>
    <row r="57" customFormat="false" ht="12.75" hidden="false" customHeight="false" outlineLevel="0" collapsed="false">
      <c r="A57" s="2" t="n">
        <f aca="false">A56+1</f>
        <v>55</v>
      </c>
      <c r="B57" s="3" t="n">
        <f aca="false">MINA(0.06,+B56+0.002)</f>
        <v>0.06</v>
      </c>
      <c r="C57" s="4" t="n">
        <f aca="false">B57*2</f>
        <v>0.12</v>
      </c>
      <c r="D57" s="4" t="n">
        <f aca="false">B57*5</f>
        <v>0.3</v>
      </c>
    </row>
    <row r="58" customFormat="false" ht="12.75" hidden="false" customHeight="false" outlineLevel="0" collapsed="false">
      <c r="A58" s="2" t="n">
        <f aca="false">A57+1</f>
        <v>56</v>
      </c>
      <c r="B58" s="3" t="n">
        <f aca="false">MINA(0.06,+B57+0.002)</f>
        <v>0.06</v>
      </c>
      <c r="C58" s="4" t="n">
        <f aca="false">B58*2</f>
        <v>0.12</v>
      </c>
      <c r="D58" s="4" t="n">
        <f aca="false">B58*5</f>
        <v>0.3</v>
      </c>
    </row>
    <row r="59" customFormat="false" ht="12.75" hidden="false" customHeight="false" outlineLevel="0" collapsed="false">
      <c r="A59" s="2" t="n">
        <f aca="false">A58+1</f>
        <v>57</v>
      </c>
      <c r="B59" s="3" t="n">
        <f aca="false">MINA(0.06,+B58+0.002)</f>
        <v>0.06</v>
      </c>
      <c r="C59" s="4" t="n">
        <f aca="false">B59*2</f>
        <v>0.12</v>
      </c>
      <c r="D59" s="4" t="n">
        <f aca="false">B59*5</f>
        <v>0.3</v>
      </c>
    </row>
    <row r="60" customFormat="false" ht="12.75" hidden="false" customHeight="false" outlineLevel="0" collapsed="false">
      <c r="A60" s="2" t="n">
        <f aca="false">A59+1</f>
        <v>58</v>
      </c>
      <c r="B60" s="3" t="n">
        <f aca="false">MINA(0.06,+B59+0.002)</f>
        <v>0.06</v>
      </c>
      <c r="C60" s="4" t="n">
        <f aca="false">B60*2</f>
        <v>0.12</v>
      </c>
      <c r="D60" s="4" t="n">
        <f aca="false">B60*5</f>
        <v>0.3</v>
      </c>
    </row>
    <row r="61" customFormat="false" ht="12.75" hidden="false" customHeight="false" outlineLevel="0" collapsed="false">
      <c r="A61" s="2" t="n">
        <f aca="false">A60+1</f>
        <v>59</v>
      </c>
      <c r="B61" s="3" t="n">
        <f aca="false">MINA(0.06,+B60+0.002)</f>
        <v>0.06</v>
      </c>
      <c r="C61" s="4" t="n">
        <f aca="false">B61*2</f>
        <v>0.12</v>
      </c>
      <c r="D61" s="4" t="n">
        <f aca="false">B61*5</f>
        <v>0.3</v>
      </c>
    </row>
    <row r="62" customFormat="false" ht="12.75" hidden="false" customHeight="false" outlineLevel="0" collapsed="false">
      <c r="A62" s="2" t="n">
        <f aca="false">A61+1</f>
        <v>60</v>
      </c>
      <c r="B62" s="3" t="n">
        <f aca="false">MINA(0.06,+B61+0.002)</f>
        <v>0.06</v>
      </c>
      <c r="C62" s="4" t="n">
        <f aca="false">B62*2</f>
        <v>0.12</v>
      </c>
      <c r="D62" s="4" t="n">
        <f aca="false">B62*5</f>
        <v>0.3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3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1" width="11.13"/>
    <col collapsed="false" customWidth="true" hidden="false" outlineLevel="0" max="5" min="5" style="1" width="13.56"/>
    <col collapsed="false" customWidth="true" hidden="false" outlineLevel="0" max="6" min="6" style="1" width="10.13"/>
  </cols>
  <sheetData>
    <row r="4" customFormat="false" ht="12.75" hidden="false" customHeight="false" outlineLevel="0" collapsed="false">
      <c r="B4" s="1" t="s">
        <v>83</v>
      </c>
      <c r="C4" s="1" t="s">
        <v>84</v>
      </c>
      <c r="D4" s="1" t="s">
        <v>85</v>
      </c>
      <c r="E4" s="1" t="s">
        <v>86</v>
      </c>
      <c r="F4" s="1" t="s">
        <v>87</v>
      </c>
    </row>
    <row r="5" customFormat="false" ht="12.75" hidden="false" customHeight="false" outlineLevel="0" collapsed="false">
      <c r="A5" s="1" t="n">
        <v>1</v>
      </c>
      <c r="B5" s="8" t="n">
        <f aca="false">Tranches!R27</f>
        <v>6136414.91645464</v>
      </c>
      <c r="C5" s="8" t="n">
        <f aca="false">Tranches!X27</f>
        <v>2475000</v>
      </c>
      <c r="D5" s="8" t="n">
        <f aca="false">Tranches!AD27</f>
        <v>2125000</v>
      </c>
      <c r="E5" s="8" t="n">
        <f aca="false">Tranches!AM27</f>
        <v>0</v>
      </c>
      <c r="F5" s="8" t="n">
        <f aca="false">Tranches!AO27</f>
        <v>1530000</v>
      </c>
    </row>
    <row r="6" customFormat="false" ht="12.75" hidden="false" customHeight="false" outlineLevel="0" collapsed="false">
      <c r="A6" s="1" t="n">
        <v>2</v>
      </c>
      <c r="B6" s="8" t="n">
        <f aca="false">Tranches!R28</f>
        <v>8379505.24570115</v>
      </c>
      <c r="C6" s="8" t="n">
        <f aca="false">Tranches!X28</f>
        <v>2475000</v>
      </c>
      <c r="D6" s="8" t="n">
        <f aca="false">Tranches!AD28</f>
        <v>2125000</v>
      </c>
      <c r="E6" s="8" t="n">
        <f aca="false">Tranches!AM28</f>
        <v>0</v>
      </c>
      <c r="F6" s="8" t="n">
        <f aca="false">Tranches!AO28</f>
        <v>1480703.77625318</v>
      </c>
    </row>
    <row r="7" customFormat="false" ht="12.75" hidden="false" customHeight="false" outlineLevel="0" collapsed="false">
      <c r="A7" s="1" t="n">
        <v>3</v>
      </c>
      <c r="B7" s="8" t="n">
        <f aca="false">Tranches!R29</f>
        <v>9905165.63177831</v>
      </c>
      <c r="C7" s="8" t="n">
        <f aca="false">Tranches!X29</f>
        <v>2475000</v>
      </c>
      <c r="D7" s="8" t="n">
        <f aca="false">Tranches!AD29</f>
        <v>2125000</v>
      </c>
      <c r="E7" s="8" t="n">
        <f aca="false">Tranches!AM29</f>
        <v>0</v>
      </c>
      <c r="F7" s="8" t="n">
        <f aca="false">Tranches!AO29</f>
        <v>1393884.99966792</v>
      </c>
    </row>
    <row r="8" customFormat="false" ht="12.75" hidden="false" customHeight="false" outlineLevel="0" collapsed="false">
      <c r="A8" s="1" t="n">
        <v>4</v>
      </c>
      <c r="B8" s="8" t="n">
        <f aca="false">Tranches!R30</f>
        <v>9211744.96925185</v>
      </c>
      <c r="C8" s="8" t="n">
        <f aca="false">Tranches!X30</f>
        <v>2475000</v>
      </c>
      <c r="D8" s="8" t="n">
        <f aca="false">Tranches!AD30</f>
        <v>2125000</v>
      </c>
      <c r="E8" s="8" t="n">
        <f aca="false">Tranches!AM30</f>
        <v>0</v>
      </c>
      <c r="F8" s="8" t="n">
        <f aca="false">Tranches!AO30</f>
        <v>1277309.39016468</v>
      </c>
    </row>
    <row r="9" customFormat="false" ht="12.75" hidden="false" customHeight="false" outlineLevel="0" collapsed="false">
      <c r="A9" s="1" t="n">
        <v>5</v>
      </c>
      <c r="B9" s="8" t="n">
        <f aca="false">Tranches!R31</f>
        <v>3673484.48441324</v>
      </c>
      <c r="C9" s="8" t="n">
        <f aca="false">Tranches!X31</f>
        <v>7106109.03394628</v>
      </c>
      <c r="D9" s="8" t="n">
        <f aca="false">Tranches!AD31</f>
        <v>2125000</v>
      </c>
      <c r="E9" s="8" t="n">
        <f aca="false">Tranches!AM31</f>
        <v>0</v>
      </c>
      <c r="F9" s="8" t="n">
        <f aca="false">Tranches!AO31</f>
        <v>1161889.23858907</v>
      </c>
    </row>
    <row r="10" customFormat="false" ht="12.75" hidden="false" customHeight="false" outlineLevel="0" collapsed="false">
      <c r="A10" s="1" t="n">
        <v>6</v>
      </c>
      <c r="B10" s="8" t="n">
        <f aca="false">Tranches!R32</f>
        <v>0</v>
      </c>
      <c r="C10" s="8" t="n">
        <f aca="false">Tranches!X32</f>
        <v>9921227.07348744</v>
      </c>
      <c r="D10" s="8" t="n">
        <f aca="false">Tranches!AD32</f>
        <v>2125000</v>
      </c>
      <c r="E10" s="8" t="n">
        <f aca="false">Tranches!AM32</f>
        <v>0</v>
      </c>
      <c r="F10" s="8" t="n">
        <f aca="false">Tranches!AO32</f>
        <v>1062507.93369317</v>
      </c>
    </row>
    <row r="11" customFormat="false" ht="12.75" hidden="false" customHeight="false" outlineLevel="0" collapsed="false">
      <c r="A11" s="1" t="n">
        <v>7</v>
      </c>
      <c r="B11" s="8" t="n">
        <f aca="false">Tranches!R33</f>
        <v>0</v>
      </c>
      <c r="C11" s="8" t="n">
        <f aca="false">Tranches!X33</f>
        <v>9111538.25739163</v>
      </c>
      <c r="D11" s="8" t="n">
        <f aca="false">Tranches!AD33</f>
        <v>2125000</v>
      </c>
      <c r="E11" s="8" t="n">
        <f aca="false">Tranches!AM33</f>
        <v>0</v>
      </c>
      <c r="F11" s="8" t="n">
        <f aca="false">Tranches!AO33</f>
        <v>975039.975778891</v>
      </c>
    </row>
    <row r="12" customFormat="false" ht="12.75" hidden="false" customHeight="false" outlineLevel="0" collapsed="false">
      <c r="A12" s="1" t="n">
        <v>8</v>
      </c>
      <c r="B12" s="8" t="n">
        <f aca="false">Tranches!R34</f>
        <v>0</v>
      </c>
      <c r="C12" s="8" t="n">
        <f aca="false">Tranches!X34</f>
        <v>8355497.34528334</v>
      </c>
      <c r="D12" s="8" t="n">
        <f aca="false">Tranches!AD34</f>
        <v>2125000</v>
      </c>
      <c r="E12" s="8" t="n">
        <f aca="false">Tranches!AM34</f>
        <v>0</v>
      </c>
      <c r="F12" s="8" t="n">
        <f aca="false">Tranches!AO34</f>
        <v>890554.914375605</v>
      </c>
    </row>
    <row r="13" customFormat="false" ht="12.75" hidden="false" customHeight="false" outlineLevel="0" collapsed="false">
      <c r="A13" s="1" t="n">
        <v>9</v>
      </c>
      <c r="B13" s="8" t="n">
        <f aca="false">Tranches!R35</f>
        <v>0</v>
      </c>
      <c r="C13" s="8" t="n">
        <f aca="false">Tranches!X35</f>
        <v>2528118.29230997</v>
      </c>
      <c r="D13" s="8" t="n">
        <f aca="false">Tranches!AD35</f>
        <v>7246698.38216834</v>
      </c>
      <c r="E13" s="8" t="n">
        <f aca="false">Tranches!AM35</f>
        <v>0</v>
      </c>
      <c r="F13" s="8" t="n">
        <f aca="false">Tranches!AO35</f>
        <v>808635.250001012</v>
      </c>
    </row>
    <row r="14" customFormat="false" ht="12.75" hidden="false" customHeight="false" outlineLevel="0" collapsed="false">
      <c r="A14" s="1" t="n">
        <v>10</v>
      </c>
      <c r="B14" s="8" t="n">
        <f aca="false">Tranches!R36</f>
        <v>0</v>
      </c>
      <c r="C14" s="8" t="n">
        <f aca="false">Tranches!X36</f>
        <v>0</v>
      </c>
      <c r="D14" s="8" t="n">
        <f aca="false">Tranches!AD36</f>
        <v>9103635.51783167</v>
      </c>
      <c r="E14" s="8" t="n">
        <f aca="false">Tranches!AM36</f>
        <v>0</v>
      </c>
      <c r="F14" s="8" t="n">
        <f aca="false">Tranches!AO36</f>
        <v>741675.012136489</v>
      </c>
    </row>
    <row r="15" customFormat="false" ht="12.75" hidden="false" customHeight="false" outlineLevel="0" collapsed="false">
      <c r="A15" s="1" t="n">
        <v>11</v>
      </c>
      <c r="B15" s="8" t="n">
        <f aca="false">Tranches!R37</f>
        <v>0</v>
      </c>
      <c r="C15" s="8" t="n">
        <f aca="false">Tranches!X37</f>
        <v>0</v>
      </c>
      <c r="D15" s="8" t="n">
        <f aca="false">Tranches!AD37</f>
        <v>8471188.86645363</v>
      </c>
      <c r="E15" s="8" t="n">
        <f aca="false">Tranches!AM37</f>
        <v>0</v>
      </c>
      <c r="F15" s="8" t="n">
        <f aca="false">Tranches!AO37</f>
        <v>682195.492969563</v>
      </c>
    </row>
    <row r="16" customFormat="false" ht="12.75" hidden="false" customHeight="false" outlineLevel="0" collapsed="false">
      <c r="A16" s="1" t="n">
        <v>12</v>
      </c>
      <c r="B16" s="8" t="n">
        <f aca="false">Tranches!R38</f>
        <v>0</v>
      </c>
      <c r="C16" s="8" t="n">
        <f aca="false">Tranches!X38</f>
        <v>0</v>
      </c>
      <c r="D16" s="8" t="n">
        <f aca="false">Tranches!AD38</f>
        <v>5482071.23734471</v>
      </c>
      <c r="E16" s="8" t="n">
        <f aca="false">Tranches!AM38</f>
        <v>2398508.96811663</v>
      </c>
      <c r="F16" s="8" t="n">
        <f aca="false">Tranches!AO38</f>
        <v>624057.982585413</v>
      </c>
    </row>
    <row r="17" customFormat="false" ht="12.75" hidden="false" customHeight="false" outlineLevel="0" collapsed="false">
      <c r="A17" s="1" t="n">
        <v>13</v>
      </c>
      <c r="B17" s="8" t="n">
        <f aca="false">Tranches!R39</f>
        <v>0</v>
      </c>
      <c r="C17" s="8" t="n">
        <f aca="false">Tranches!X39</f>
        <v>0</v>
      </c>
      <c r="D17" s="8" t="n">
        <f aca="false">Tranches!AD39</f>
        <v>0</v>
      </c>
      <c r="E17" s="8" t="n">
        <f aca="false">Tranches!AM39</f>
        <v>7317274.40790986</v>
      </c>
      <c r="F17" s="8" t="n">
        <f aca="false">Tranches!AO39</f>
        <v>578957.313793132</v>
      </c>
    </row>
    <row r="18" customFormat="false" ht="12.75" hidden="false" customHeight="false" outlineLevel="0" collapsed="false">
      <c r="A18" s="1" t="n">
        <v>14</v>
      </c>
      <c r="B18" s="8" t="n">
        <f aca="false">Tranches!R40</f>
        <v>0</v>
      </c>
      <c r="C18" s="8" t="n">
        <f aca="false">Tranches!X40</f>
        <v>0</v>
      </c>
      <c r="D18" s="8" t="n">
        <f aca="false">Tranches!AD40</f>
        <v>0</v>
      </c>
      <c r="E18" s="8" t="n">
        <f aca="false">Tranches!AM40</f>
        <v>6765229.80013226</v>
      </c>
      <c r="F18" s="8" t="n">
        <f aca="false">Tranches!AO40</f>
        <v>560277.099994966</v>
      </c>
    </row>
    <row r="19" customFormat="false" ht="12.75" hidden="false" customHeight="false" outlineLevel="0" collapsed="false">
      <c r="A19" s="1" t="n">
        <v>15</v>
      </c>
      <c r="B19" s="8" t="n">
        <f aca="false">Tranches!R41</f>
        <v>0</v>
      </c>
      <c r="C19" s="8" t="n">
        <f aca="false">Tranches!X41</f>
        <v>0</v>
      </c>
      <c r="D19" s="8" t="n">
        <f aca="false">Tranches!AD41</f>
        <v>0</v>
      </c>
      <c r="E19" s="8" t="n">
        <f aca="false">Tranches!AM41</f>
        <v>6247300.11380494</v>
      </c>
      <c r="F19" s="8" t="n">
        <f aca="false">Tranches!AO41</f>
        <v>542675.889993851</v>
      </c>
    </row>
    <row r="20" customFormat="false" ht="12.75" hidden="false" customHeight="false" outlineLevel="0" collapsed="false">
      <c r="A20" s="1" t="n">
        <v>16</v>
      </c>
      <c r="B20" s="8" t="n">
        <f aca="false">Tranches!R42</f>
        <v>0</v>
      </c>
      <c r="C20" s="8" t="n">
        <f aca="false">Tranches!X42</f>
        <v>0</v>
      </c>
      <c r="D20" s="8" t="n">
        <f aca="false">Tranches!AD42</f>
        <v>0</v>
      </c>
      <c r="E20" s="8" t="n">
        <f aca="false">Tranches!AM42</f>
        <v>5761230.28572705</v>
      </c>
      <c r="F20" s="8" t="n">
        <f aca="false">Tranches!AO42</f>
        <v>526080.219524273</v>
      </c>
    </row>
    <row r="21" customFormat="false" ht="12.75" hidden="false" customHeight="false" outlineLevel="0" collapsed="false">
      <c r="A21" s="1" t="n">
        <v>17</v>
      </c>
      <c r="B21" s="8" t="n">
        <f aca="false">Tranches!R43</f>
        <v>0</v>
      </c>
      <c r="C21" s="8" t="n">
        <f aca="false">Tranches!X43</f>
        <v>0</v>
      </c>
      <c r="D21" s="8" t="n">
        <f aca="false">Tranches!AD43</f>
        <v>0</v>
      </c>
      <c r="E21" s="8" t="n">
        <f aca="false">Tranches!AM43</f>
        <v>5304909.31780102</v>
      </c>
      <c r="F21" s="8" t="n">
        <f aca="false">Tranches!AO43</f>
        <v>510421.287852821</v>
      </c>
    </row>
    <row r="22" customFormat="false" ht="12.75" hidden="false" customHeight="false" outlineLevel="0" collapsed="false">
      <c r="A22" s="1" t="n">
        <v>18</v>
      </c>
      <c r="B22" s="8" t="n">
        <f aca="false">Tranches!R44</f>
        <v>0</v>
      </c>
      <c r="C22" s="8" t="n">
        <f aca="false">Tranches!X44</f>
        <v>0</v>
      </c>
      <c r="D22" s="8" t="n">
        <f aca="false">Tranches!AD44</f>
        <v>0</v>
      </c>
      <c r="E22" s="8" t="n">
        <f aca="false">Tranches!AM44</f>
        <v>4876360.73798434</v>
      </c>
      <c r="F22" s="8" t="n">
        <f aca="false">Tranches!AO44</f>
        <v>495634.65717057</v>
      </c>
    </row>
    <row r="23" customFormat="false" ht="12.75" hidden="false" customHeight="false" outlineLevel="0" collapsed="false">
      <c r="A23" s="1" t="n">
        <v>19</v>
      </c>
      <c r="B23" s="8" t="n">
        <f aca="false">Tranches!R45</f>
        <v>0</v>
      </c>
      <c r="C23" s="8" t="n">
        <f aca="false">Tranches!X45</f>
        <v>0</v>
      </c>
      <c r="D23" s="8" t="n">
        <f aca="false">Tranches!AD45</f>
        <v>0</v>
      </c>
      <c r="E23" s="8" t="n">
        <f aca="false">Tranches!AM45</f>
        <v>4473733.59642891</v>
      </c>
      <c r="F23" s="8" t="n">
        <f aca="false">Tranches!AO45</f>
        <v>481659.972626001</v>
      </c>
    </row>
    <row r="24" customFormat="false" ht="12.75" hidden="false" customHeight="false" outlineLevel="0" collapsed="false">
      <c r="A24" s="1" t="n">
        <v>20</v>
      </c>
      <c r="B24" s="8" t="n">
        <f aca="false">Tranches!R46</f>
        <v>0</v>
      </c>
      <c r="C24" s="8" t="n">
        <f aca="false">Tranches!X46</f>
        <v>0</v>
      </c>
      <c r="D24" s="8" t="n">
        <f aca="false">Tranches!AD46</f>
        <v>0</v>
      </c>
      <c r="E24" s="8" t="n">
        <f aca="false">Tranches!AM46</f>
        <v>4095293.91589914</v>
      </c>
      <c r="F24" s="8" t="n">
        <f aca="false">Tranches!AO46</f>
        <v>468440.702180196</v>
      </c>
    </row>
    <row r="25" customFormat="false" ht="12.75" hidden="false" customHeight="false" outlineLevel="0" collapsed="false">
      <c r="A25" s="1" t="n">
        <v>21</v>
      </c>
      <c r="B25" s="8" t="n">
        <f aca="false">Tranches!R47</f>
        <v>0</v>
      </c>
      <c r="C25" s="8" t="n">
        <f aca="false">Tranches!X47</f>
        <v>0</v>
      </c>
      <c r="D25" s="8" t="n">
        <f aca="false">Tranches!AD47</f>
        <v>0</v>
      </c>
      <c r="E25" s="8" t="n">
        <f aca="false">Tranches!AM47</f>
        <v>3739416.48740069</v>
      </c>
      <c r="F25" s="8" t="n">
        <f aca="false">Tranches!AO47</f>
        <v>455923.895796918</v>
      </c>
    </row>
    <row r="26" customFormat="false" ht="12.75" hidden="false" customHeight="false" outlineLevel="0" collapsed="false">
      <c r="A26" s="1" t="n">
        <v>22</v>
      </c>
      <c r="B26" s="8" t="n">
        <f aca="false">Tranches!R48</f>
        <v>0</v>
      </c>
      <c r="C26" s="8" t="n">
        <f aca="false">Tranches!X48</f>
        <v>0</v>
      </c>
      <c r="D26" s="8" t="n">
        <f aca="false">Tranches!AD48</f>
        <v>0</v>
      </c>
      <c r="E26" s="8" t="n">
        <f aca="false">Tranches!AM48</f>
        <v>3404576.84528137</v>
      </c>
      <c r="F26" s="8" t="n">
        <f aca="false">Tranches!AO48</f>
        <v>444059.963981637</v>
      </c>
    </row>
    <row r="27" customFormat="false" ht="12.75" hidden="false" customHeight="false" outlineLevel="0" collapsed="false">
      <c r="A27" s="1" t="n">
        <v>23</v>
      </c>
      <c r="B27" s="8" t="n">
        <f aca="false">Tranches!R49</f>
        <v>0</v>
      </c>
      <c r="C27" s="8" t="n">
        <f aca="false">Tranches!X49</f>
        <v>0</v>
      </c>
      <c r="D27" s="8" t="n">
        <f aca="false">Tranches!AD49</f>
        <v>0</v>
      </c>
      <c r="E27" s="8" t="n">
        <f aca="false">Tranches!AM49</f>
        <v>3089343.13804996</v>
      </c>
      <c r="F27" s="8" t="n">
        <f aca="false">Tranches!AO49</f>
        <v>432802.476513579</v>
      </c>
    </row>
    <row r="28" customFormat="false" ht="12.75" hidden="false" customHeight="false" outlineLevel="0" collapsed="false">
      <c r="A28" s="1" t="n">
        <v>24</v>
      </c>
      <c r="B28" s="8" t="n">
        <f aca="false">Tranches!R50</f>
        <v>0</v>
      </c>
      <c r="C28" s="8" t="n">
        <f aca="false">Tranches!X50</f>
        <v>0</v>
      </c>
      <c r="D28" s="8" t="n">
        <f aca="false">Tranches!AD50</f>
        <v>0</v>
      </c>
      <c r="E28" s="8" t="n">
        <f aca="false">Tranches!AM50</f>
        <v>2792367.35093433</v>
      </c>
      <c r="F28" s="8" t="n">
        <f aca="false">Tranches!AO50</f>
        <v>422107.98370955</v>
      </c>
    </row>
    <row r="29" customFormat="false" ht="12.75" hidden="false" customHeight="false" outlineLevel="0" collapsed="false">
      <c r="A29" s="1" t="n">
        <v>25</v>
      </c>
      <c r="B29" s="8" t="n">
        <f aca="false">Tranches!R51</f>
        <v>0</v>
      </c>
      <c r="C29" s="8" t="n">
        <f aca="false">Tranches!X51</f>
        <v>0</v>
      </c>
      <c r="D29" s="8" t="n">
        <f aca="false">Tranches!AD51</f>
        <v>0</v>
      </c>
      <c r="E29" s="8" t="n">
        <f aca="false">Tranches!AM51</f>
        <v>2512374.71512001</v>
      </c>
      <c r="F29" s="8" t="n">
        <f aca="false">Tranches!AO51</f>
        <v>411935.865488739</v>
      </c>
    </row>
    <row r="30" customFormat="false" ht="12.75" hidden="false" customHeight="false" outlineLevel="0" collapsed="false">
      <c r="A30" s="1" t="n">
        <v>26</v>
      </c>
      <c r="B30" s="8" t="n">
        <f aca="false">Tranches!R52</f>
        <v>0</v>
      </c>
      <c r="C30" s="8" t="n">
        <f aca="false">Tranches!X52</f>
        <v>0</v>
      </c>
      <c r="D30" s="8" t="n">
        <f aca="false">Tranches!AD52</f>
        <v>0</v>
      </c>
      <c r="E30" s="8" t="n">
        <f aca="false">Tranches!AM52</f>
        <v>2248148.49165693</v>
      </c>
      <c r="F30" s="8" t="n">
        <f aca="false">Tranches!AO52</f>
        <v>402248.219807126</v>
      </c>
    </row>
    <row r="31" customFormat="false" ht="12.75" hidden="false" customHeight="false" outlineLevel="0" collapsed="false">
      <c r="A31" s="1" t="n">
        <v>27</v>
      </c>
      <c r="B31" s="8" t="n">
        <f aca="false">Tranches!R53</f>
        <v>0</v>
      </c>
      <c r="C31" s="8" t="n">
        <f aca="false">Tranches!X53</f>
        <v>0</v>
      </c>
      <c r="D31" s="8" t="n">
        <f aca="false">Tranches!AD53</f>
        <v>0</v>
      </c>
      <c r="E31" s="8" t="n">
        <f aca="false">Tranches!AM53</f>
        <v>1998502.28562045</v>
      </c>
      <c r="F31" s="8" t="n">
        <f aca="false">Tranches!AO53</f>
        <v>393009.817131482</v>
      </c>
    </row>
    <row r="32" customFormat="false" ht="12.75" hidden="false" customHeight="false" outlineLevel="0" collapsed="false">
      <c r="A32" s="1" t="n">
        <v>28</v>
      </c>
      <c r="B32" s="8" t="n">
        <f aca="false">Tranches!R54</f>
        <v>0</v>
      </c>
      <c r="C32" s="8" t="n">
        <f aca="false">Tranches!X54</f>
        <v>0</v>
      </c>
      <c r="D32" s="8" t="n">
        <f aca="false">Tranches!AD54</f>
        <v>0</v>
      </c>
      <c r="E32" s="8" t="n">
        <f aca="false">Tranches!AM54</f>
        <v>913025.255457121</v>
      </c>
      <c r="F32" s="8" t="n">
        <f aca="false">Tranches!AO54</f>
        <v>1233376.197283</v>
      </c>
    </row>
    <row r="33" customFormat="false" ht="12.75" hidden="false" customHeight="false" outlineLevel="0" collapsed="false">
      <c r="A33" s="1" t="n">
        <v>29</v>
      </c>
      <c r="B33" s="8" t="n">
        <f aca="false">Tranches!R55</f>
        <v>0</v>
      </c>
      <c r="C33" s="8" t="n">
        <f aca="false">Tranches!X55</f>
        <v>0</v>
      </c>
      <c r="D33" s="8" t="n">
        <f aca="false">Tranches!AD55</f>
        <v>0</v>
      </c>
      <c r="E33" s="8" t="n">
        <f aca="false">Tranches!AM55</f>
        <v>0</v>
      </c>
      <c r="F33" s="8" t="n">
        <f aca="false">Tranches!AO55</f>
        <v>1913548.13818515</v>
      </c>
    </row>
    <row r="34" customFormat="false" ht="12.75" hidden="false" customHeight="false" outlineLevel="0" collapsed="false">
      <c r="A34" s="1" t="n">
        <v>30</v>
      </c>
      <c r="B34" s="8" t="n">
        <f aca="false">Tranches!R56</f>
        <v>0</v>
      </c>
      <c r="C34" s="8" t="n">
        <f aca="false">Tranches!X56</f>
        <v>0</v>
      </c>
      <c r="D34" s="8" t="n">
        <f aca="false">Tranches!AD56</f>
        <v>0</v>
      </c>
      <c r="E34" s="8" t="n">
        <f aca="false">Tranches!AM56</f>
        <v>0</v>
      </c>
      <c r="F34" s="8" t="n">
        <f aca="false">Tranches!AO56</f>
        <v>1689789.11501689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1" width="11.13"/>
  </cols>
  <sheetData>
    <row r="2" customFormat="false" ht="12.75" hidden="false" customHeight="false" outlineLevel="0" collapsed="false">
      <c r="B2" s="1" t="s">
        <v>83</v>
      </c>
      <c r="C2" s="1" t="s">
        <v>84</v>
      </c>
      <c r="D2" s="1" t="s">
        <v>85</v>
      </c>
      <c r="E2" s="1" t="s">
        <v>86</v>
      </c>
      <c r="F2" s="1" t="s">
        <v>87</v>
      </c>
    </row>
    <row r="3" customFormat="false" ht="12.75" hidden="false" customHeight="false" outlineLevel="0" collapsed="false">
      <c r="A3" s="1" t="n">
        <v>1</v>
      </c>
      <c r="B3" s="8" t="n">
        <f aca="false">Tranches!O27</f>
        <v>26263585.0835454</v>
      </c>
      <c r="C3" s="8" t="n">
        <f aca="false">Tranches!U27</f>
        <v>30000000</v>
      </c>
      <c r="D3" s="8" t="n">
        <f aca="false">Tranches!AA27</f>
        <v>25000000</v>
      </c>
      <c r="E3" s="8" t="n">
        <f aca="false">Tranches!AG27</f>
        <v>16350000</v>
      </c>
    </row>
    <row r="4" customFormat="false" ht="12.75" hidden="false" customHeight="false" outlineLevel="0" collapsed="false">
      <c r="A4" s="1" t="n">
        <v>2</v>
      </c>
      <c r="B4" s="8" t="n">
        <f aca="false">Tranches!O28</f>
        <v>19985166.6445278</v>
      </c>
      <c r="C4" s="8" t="n">
        <f aca="false">Tranches!U28</f>
        <v>30000000</v>
      </c>
      <c r="D4" s="8" t="n">
        <f aca="false">Tranches!AA28</f>
        <v>25000000</v>
      </c>
      <c r="E4" s="8" t="n">
        <f aca="false">Tranches!AG28</f>
        <v>17821500</v>
      </c>
    </row>
    <row r="5" customFormat="false" ht="12.75" hidden="false" customHeight="false" outlineLevel="0" collapsed="false">
      <c r="A5" s="1" t="n">
        <v>3</v>
      </c>
      <c r="B5" s="8" t="n">
        <f aca="false">Tranches!O29</f>
        <v>11678814.3443118</v>
      </c>
      <c r="C5" s="8" t="n">
        <f aca="false">Tranches!U29</f>
        <v>30000000</v>
      </c>
      <c r="D5" s="8" t="n">
        <f aca="false">Tranches!AA29</f>
        <v>25000000</v>
      </c>
      <c r="E5" s="8" t="n">
        <f aca="false">Tranches!AG29</f>
        <v>19425435</v>
      </c>
    </row>
    <row r="6" customFormat="false" ht="12.75" hidden="false" customHeight="false" outlineLevel="0" collapsed="false">
      <c r="A6" s="1" t="n">
        <v>4</v>
      </c>
      <c r="B6" s="8" t="n">
        <f aca="false">Tranches!O30</f>
        <v>3401374.52260485</v>
      </c>
      <c r="C6" s="8" t="n">
        <f aca="false">Tranches!U30</f>
        <v>30000000</v>
      </c>
      <c r="D6" s="8" t="n">
        <f aca="false">Tranches!AA30</f>
        <v>25000000</v>
      </c>
      <c r="E6" s="8" t="n">
        <f aca="false">Tranches!AG30</f>
        <v>21173724.15</v>
      </c>
    </row>
    <row r="7" customFormat="false" ht="12.75" hidden="false" customHeight="false" outlineLevel="0" collapsed="false">
      <c r="A7" s="1" t="n">
        <v>5</v>
      </c>
      <c r="B7" s="8" t="n">
        <f aca="false">Tranches!O31</f>
        <v>0</v>
      </c>
      <c r="C7" s="8" t="n">
        <f aca="false">Tranches!U31</f>
        <v>25368890.9660537</v>
      </c>
      <c r="D7" s="8" t="n">
        <f aca="false">Tranches!AA31</f>
        <v>25000000</v>
      </c>
      <c r="E7" s="8" t="n">
        <f aca="false">Tranches!AG31</f>
        <v>23079359.3235</v>
      </c>
    </row>
    <row r="8" customFormat="false" ht="12.75" hidden="false" customHeight="false" outlineLevel="0" collapsed="false">
      <c r="A8" s="1" t="n">
        <v>6</v>
      </c>
      <c r="B8" s="8" t="n">
        <f aca="false">Tranches!O32</f>
        <v>0</v>
      </c>
      <c r="C8" s="8" t="n">
        <f aca="false">Tranches!U32</f>
        <v>17540597.3972657</v>
      </c>
      <c r="D8" s="8" t="n">
        <f aca="false">Tranches!AA32</f>
        <v>25000000</v>
      </c>
      <c r="E8" s="8" t="n">
        <f aca="false">Tranches!AG32</f>
        <v>25156501.662615</v>
      </c>
    </row>
    <row r="9" customFormat="false" ht="12.75" hidden="false" customHeight="false" outlineLevel="0" collapsed="false">
      <c r="A9" s="1" t="n">
        <v>7</v>
      </c>
      <c r="B9" s="8" t="n">
        <f aca="false">Tranches!O33</f>
        <v>0</v>
      </c>
      <c r="C9" s="8" t="n">
        <f aca="false">Tranches!U33</f>
        <v>9876158.42514851</v>
      </c>
      <c r="D9" s="8" t="n">
        <f aca="false">Tranches!AA33</f>
        <v>25000000</v>
      </c>
      <c r="E9" s="8" t="n">
        <f aca="false">Tranches!AG33</f>
        <v>27420586.8122504</v>
      </c>
    </row>
    <row r="10" customFormat="false" ht="12.75" hidden="false" customHeight="false" outlineLevel="0" collapsed="false">
      <c r="A10" s="1" t="n">
        <v>8</v>
      </c>
      <c r="B10" s="8" t="n">
        <f aca="false">Tranches!O34</f>
        <v>0</v>
      </c>
      <c r="C10" s="8" t="n">
        <f aca="false">Tranches!U34</f>
        <v>2335444.14993992</v>
      </c>
      <c r="D10" s="8" t="n">
        <f aca="false">Tranches!AA34</f>
        <v>25000000</v>
      </c>
      <c r="E10" s="8" t="n">
        <f aca="false">Tranches!AG34</f>
        <v>29888439.6253529</v>
      </c>
    </row>
    <row r="11" customFormat="false" ht="12.75" hidden="false" customHeight="false" outlineLevel="0" collapsed="false">
      <c r="A11" s="1" t="n">
        <v>9</v>
      </c>
      <c r="B11" s="8" t="n">
        <f aca="false">Tranches!O35</f>
        <v>0</v>
      </c>
      <c r="C11" s="8" t="n">
        <f aca="false">Tranches!U35</f>
        <v>0</v>
      </c>
      <c r="D11" s="8" t="n">
        <f aca="false">Tranches!AA35</f>
        <v>19878301.6178317</v>
      </c>
      <c r="E11" s="8" t="n">
        <f aca="false">Tranches!AG35</f>
        <v>32578399.1916346</v>
      </c>
    </row>
    <row r="12" customFormat="false" ht="12.75" hidden="false" customHeight="false" outlineLevel="0" collapsed="false">
      <c r="A12" s="1" t="n">
        <v>10</v>
      </c>
      <c r="B12" s="8" t="n">
        <f aca="false">Tranches!O36</f>
        <v>0</v>
      </c>
      <c r="C12" s="8" t="n">
        <f aca="false">Tranches!U36</f>
        <v>0</v>
      </c>
      <c r="D12" s="8" t="n">
        <f aca="false">Tranches!AA36</f>
        <v>12464321.7375157</v>
      </c>
      <c r="E12" s="8" t="n">
        <f aca="false">Tranches!AG36</f>
        <v>35510455.1188818</v>
      </c>
    </row>
    <row r="13" customFormat="false" ht="12.75" hidden="false" customHeight="false" outlineLevel="0" collapsed="false">
      <c r="A13" s="1" t="n">
        <v>11</v>
      </c>
      <c r="B13" s="8" t="n">
        <f aca="false">Tranches!O37</f>
        <v>0</v>
      </c>
      <c r="C13" s="8" t="n">
        <f aca="false">Tranches!U37</f>
        <v>0</v>
      </c>
      <c r="D13" s="8" t="n">
        <f aca="false">Tranches!AA37</f>
        <v>5052600.21875089</v>
      </c>
      <c r="E13" s="8" t="n">
        <f aca="false">Tranches!AG37</f>
        <v>38706396.0795811</v>
      </c>
    </row>
    <row r="14" customFormat="false" ht="12.75" hidden="false" customHeight="false" outlineLevel="0" collapsed="false">
      <c r="A14" s="1" t="n">
        <v>12</v>
      </c>
      <c r="B14" s="8" t="n">
        <f aca="false">Tranches!O38</f>
        <v>0</v>
      </c>
      <c r="C14" s="8" t="n">
        <f aca="false">Tranches!U38</f>
        <v>0</v>
      </c>
      <c r="D14" s="8" t="n">
        <f aca="false">Tranches!AA38</f>
        <v>0</v>
      </c>
      <c r="E14" s="8" t="n">
        <f aca="false">Tranches!AG38</f>
        <v>39791462.7586268</v>
      </c>
    </row>
    <row r="15" customFormat="false" ht="12.75" hidden="false" customHeight="false" outlineLevel="0" collapsed="false">
      <c r="A15" s="1" t="n">
        <v>13</v>
      </c>
      <c r="B15" s="8" t="n">
        <f aca="false">Tranches!O39</f>
        <v>0</v>
      </c>
      <c r="C15" s="8" t="n">
        <f aca="false">Tranches!U39</f>
        <v>0</v>
      </c>
      <c r="D15" s="8" t="n">
        <f aca="false">Tranches!AA39</f>
        <v>0</v>
      </c>
      <c r="E15" s="8" t="n">
        <f aca="false">Tranches!AG39</f>
        <v>36055419.9989933</v>
      </c>
    </row>
    <row r="16" customFormat="false" ht="12.75" hidden="false" customHeight="false" outlineLevel="0" collapsed="false">
      <c r="A16" s="1" t="n">
        <v>14</v>
      </c>
      <c r="B16" s="8" t="n">
        <f aca="false">Tranches!O40</f>
        <v>0</v>
      </c>
      <c r="C16" s="8" t="n">
        <f aca="false">Tranches!U40</f>
        <v>0</v>
      </c>
      <c r="D16" s="8" t="n">
        <f aca="false">Tranches!AA40</f>
        <v>0</v>
      </c>
      <c r="E16" s="8" t="n">
        <f aca="false">Tranches!AG40</f>
        <v>32535177.9987705</v>
      </c>
    </row>
    <row r="17" customFormat="false" ht="12.75" hidden="false" customHeight="false" outlineLevel="0" collapsed="false">
      <c r="A17" s="1" t="n">
        <v>15</v>
      </c>
      <c r="B17" s="8" t="n">
        <f aca="false">Tranches!O41</f>
        <v>0</v>
      </c>
      <c r="C17" s="8" t="n">
        <f aca="false">Tranches!U41</f>
        <v>0</v>
      </c>
      <c r="D17" s="8" t="n">
        <f aca="false">Tranches!AA41</f>
        <v>0</v>
      </c>
      <c r="E17" s="8" t="n">
        <f aca="false">Tranches!AG41</f>
        <v>29216043.9048549</v>
      </c>
    </row>
    <row r="18" customFormat="false" ht="12.75" hidden="false" customHeight="false" outlineLevel="0" collapsed="false">
      <c r="A18" s="1" t="n">
        <v>16</v>
      </c>
      <c r="B18" s="8" t="n">
        <f aca="false">Tranches!O42</f>
        <v>0</v>
      </c>
      <c r="C18" s="8" t="n">
        <f aca="false">Tranches!U42</f>
        <v>0</v>
      </c>
      <c r="D18" s="8" t="n">
        <f aca="false">Tranches!AA42</f>
        <v>0</v>
      </c>
      <c r="E18" s="8" t="n">
        <f aca="false">Tranches!AG42</f>
        <v>26084257.5705648</v>
      </c>
    </row>
    <row r="19" customFormat="false" ht="12.75" hidden="false" customHeight="false" outlineLevel="0" collapsed="false">
      <c r="A19" s="1" t="n">
        <v>17</v>
      </c>
      <c r="B19" s="8" t="n">
        <f aca="false">Tranches!O43</f>
        <v>0</v>
      </c>
      <c r="C19" s="8" t="n">
        <f aca="false">Tranches!U43</f>
        <v>0</v>
      </c>
      <c r="D19" s="8" t="n">
        <f aca="false">Tranches!AA43</f>
        <v>0</v>
      </c>
      <c r="E19" s="8" t="n">
        <f aca="false">Tranches!AG43</f>
        <v>23126931.4341146</v>
      </c>
    </row>
    <row r="20" customFormat="false" ht="12.75" hidden="false" customHeight="false" outlineLevel="0" collapsed="false">
      <c r="A20" s="1" t="n">
        <v>18</v>
      </c>
      <c r="B20" s="8" t="n">
        <f aca="false">Tranches!O44</f>
        <v>0</v>
      </c>
      <c r="C20" s="8" t="n">
        <f aca="false">Tranches!U44</f>
        <v>0</v>
      </c>
      <c r="D20" s="8" t="n">
        <f aca="false">Tranches!AA44</f>
        <v>0</v>
      </c>
      <c r="E20" s="8" t="n">
        <f aca="false">Tranches!AG44</f>
        <v>20331994.5252005</v>
      </c>
    </row>
    <row r="21" customFormat="false" ht="12.75" hidden="false" customHeight="false" outlineLevel="0" collapsed="false">
      <c r="A21" s="1" t="n">
        <v>19</v>
      </c>
      <c r="B21" s="8" t="n">
        <f aca="false">Tranches!O45</f>
        <v>0</v>
      </c>
      <c r="C21" s="8" t="n">
        <f aca="false">Tranches!U45</f>
        <v>0</v>
      </c>
      <c r="D21" s="8" t="n">
        <f aca="false">Tranches!AA45</f>
        <v>0</v>
      </c>
      <c r="E21" s="8" t="n">
        <f aca="false">Tranches!AG45</f>
        <v>17688140.4360397</v>
      </c>
    </row>
    <row r="22" customFormat="false" ht="12.75" hidden="false" customHeight="false" outlineLevel="0" collapsed="false">
      <c r="A22" s="1" t="n">
        <v>20</v>
      </c>
      <c r="B22" s="8" t="n">
        <f aca="false">Tranches!O46</f>
        <v>0</v>
      </c>
      <c r="C22" s="8" t="n">
        <f aca="false">Tranches!U46</f>
        <v>0</v>
      </c>
      <c r="D22" s="8" t="n">
        <f aca="false">Tranches!AA46</f>
        <v>0</v>
      </c>
      <c r="E22" s="8" t="n">
        <f aca="false">Tranches!AG46</f>
        <v>15184779.1593841</v>
      </c>
    </row>
    <row r="23" customFormat="false" ht="12.75" hidden="false" customHeight="false" outlineLevel="0" collapsed="false">
      <c r="A23" s="1" t="n">
        <v>21</v>
      </c>
      <c r="B23" s="8" t="n">
        <f aca="false">Tranches!O47</f>
        <v>0</v>
      </c>
      <c r="C23" s="8" t="n">
        <f aca="false">Tranches!U47</f>
        <v>0</v>
      </c>
      <c r="D23" s="8" t="n">
        <f aca="false">Tranches!AA47</f>
        <v>0</v>
      </c>
      <c r="E23" s="8" t="n">
        <f aca="false">Tranches!AG47</f>
        <v>12811992.796328</v>
      </c>
    </row>
    <row r="24" customFormat="false" ht="12.75" hidden="false" customHeight="false" outlineLevel="0" collapsed="false">
      <c r="A24" s="1" t="n">
        <v>22</v>
      </c>
      <c r="B24" s="8" t="n">
        <f aca="false">Tranches!O48</f>
        <v>0</v>
      </c>
      <c r="C24" s="8" t="n">
        <f aca="false">Tranches!U48</f>
        <v>0</v>
      </c>
      <c r="D24" s="8" t="n">
        <f aca="false">Tranches!AA48</f>
        <v>0</v>
      </c>
      <c r="E24" s="8" t="n">
        <f aca="false">Tranches!AG48</f>
        <v>10560495.3027161</v>
      </c>
    </row>
    <row r="25" customFormat="false" ht="12.75" hidden="false" customHeight="false" outlineLevel="0" collapsed="false">
      <c r="A25" s="1" t="n">
        <v>23</v>
      </c>
      <c r="B25" s="8" t="n">
        <f aca="false">Tranches!O49</f>
        <v>0</v>
      </c>
      <c r="C25" s="8" t="n">
        <f aca="false">Tranches!U49</f>
        <v>0</v>
      </c>
      <c r="D25" s="8" t="n">
        <f aca="false">Tranches!AA49</f>
        <v>0</v>
      </c>
      <c r="E25" s="8" t="n">
        <f aca="false">Tranches!AG49</f>
        <v>8421596.74191062</v>
      </c>
    </row>
    <row r="26" customFormat="false" ht="12.75" hidden="false" customHeight="false" outlineLevel="0" collapsed="false">
      <c r="A26" s="1" t="n">
        <v>24</v>
      </c>
      <c r="B26" s="8" t="n">
        <f aca="false">Tranches!O50</f>
        <v>0</v>
      </c>
      <c r="C26" s="8" t="n">
        <f aca="false">Tranches!U50</f>
        <v>0</v>
      </c>
      <c r="D26" s="8" t="n">
        <f aca="false">Tranches!AA50</f>
        <v>0</v>
      </c>
      <c r="E26" s="8" t="n">
        <f aca="false">Tranches!AG50</f>
        <v>6387173.09774825</v>
      </c>
    </row>
    <row r="27" customFormat="false" ht="12.75" hidden="false" customHeight="false" outlineLevel="0" collapsed="false">
      <c r="A27" s="1" t="n">
        <v>25</v>
      </c>
      <c r="B27" s="8" t="n">
        <f aca="false">Tranches!O51</f>
        <v>0</v>
      </c>
      <c r="C27" s="8" t="n">
        <f aca="false">Tranches!U51</f>
        <v>0</v>
      </c>
      <c r="D27" s="8" t="n">
        <f aca="false">Tranches!AA51</f>
        <v>0</v>
      </c>
      <c r="E27" s="8" t="n">
        <f aca="false">Tranches!AG51</f>
        <v>4449643.96142559</v>
      </c>
    </row>
    <row r="28" customFormat="false" ht="12.75" hidden="false" customHeight="false" outlineLevel="0" collapsed="false">
      <c r="A28" s="1" t="n">
        <v>26</v>
      </c>
      <c r="B28" s="8" t="n">
        <f aca="false">Tranches!O52</f>
        <v>0</v>
      </c>
      <c r="C28" s="8" t="n">
        <f aca="false">Tranches!U52</f>
        <v>0</v>
      </c>
      <c r="D28" s="8" t="n">
        <f aca="false">Tranches!AA52</f>
        <v>0</v>
      </c>
      <c r="E28" s="8" t="n">
        <f aca="false">Tranches!AG52</f>
        <v>2601963.42629696</v>
      </c>
    </row>
    <row r="29" customFormat="false" ht="12.75" hidden="false" customHeight="false" outlineLevel="0" collapsed="false">
      <c r="A29" s="1" t="n">
        <v>27</v>
      </c>
      <c r="B29" s="8" t="n">
        <f aca="false">Tranches!O53</f>
        <v>0</v>
      </c>
      <c r="C29" s="8" t="n">
        <f aca="false">Tranches!U53</f>
        <v>0</v>
      </c>
      <c r="D29" s="8" t="n">
        <f aca="false">Tranches!AA53</f>
        <v>0</v>
      </c>
      <c r="E29" s="8" t="n">
        <f aca="false">Tranches!AG53</f>
        <v>837637.84904323</v>
      </c>
    </row>
    <row r="30" customFormat="false" ht="12.75" hidden="false" customHeight="false" outlineLevel="0" collapsed="false">
      <c r="A30" s="1" t="n">
        <v>28</v>
      </c>
      <c r="B30" s="8" t="n">
        <f aca="false">Tranches!O54</f>
        <v>0</v>
      </c>
      <c r="C30" s="8" t="n">
        <f aca="false">Tranches!U54</f>
        <v>0</v>
      </c>
      <c r="D30" s="8" t="n">
        <f aca="false">Tranches!AA54</f>
        <v>0</v>
      </c>
      <c r="E30" s="8" t="n">
        <f aca="false">Tranches!AG54</f>
        <v>0</v>
      </c>
    </row>
    <row r="31" customFormat="false" ht="12.75" hidden="false" customHeight="false" outlineLevel="0" collapsed="false">
      <c r="A31" s="1" t="n">
        <v>29</v>
      </c>
      <c r="B31" s="8" t="n">
        <f aca="false">Tranches!O55</f>
        <v>0</v>
      </c>
      <c r="C31" s="8" t="n">
        <f aca="false">Tranches!U55</f>
        <v>0</v>
      </c>
      <c r="D31" s="8" t="n">
        <f aca="false">Tranches!AA55</f>
        <v>0</v>
      </c>
      <c r="E31" s="8" t="n">
        <f aca="false">Tranches!AG55</f>
        <v>0</v>
      </c>
    </row>
    <row r="32" customFormat="false" ht="12.75" hidden="false" customHeight="false" outlineLevel="0" collapsed="false">
      <c r="A32" s="1" t="n">
        <v>30</v>
      </c>
      <c r="B32" s="8" t="n">
        <f aca="false">Tranches!O56</f>
        <v>0</v>
      </c>
      <c r="C32" s="8" t="n">
        <f aca="false">Tranches!U56</f>
        <v>0</v>
      </c>
      <c r="D32" s="8" t="n">
        <f aca="false">Tranches!AA56</f>
        <v>0</v>
      </c>
      <c r="E32" s="8" t="n">
        <f aca="false">Tranches!AG56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3" min="2" style="1" width="12.42"/>
    <col collapsed="false" customWidth="true" hidden="false" outlineLevel="0" max="4" min="4" style="1" width="9.56"/>
    <col collapsed="false" customWidth="true" hidden="false" outlineLevel="0" max="5" min="5" style="1" width="12.42"/>
    <col collapsed="false" customWidth="true" hidden="false" outlineLevel="0" max="6" min="6" style="1" width="9.56"/>
  </cols>
  <sheetData>
    <row r="2" customFormat="false" ht="12.75" hidden="false" customHeight="false" outlineLevel="0" collapsed="false">
      <c r="B2" s="5"/>
      <c r="C2" s="5"/>
      <c r="D2" s="5"/>
      <c r="E2" s="5"/>
      <c r="F2" s="5"/>
    </row>
    <row r="3" customFormat="false" ht="12.75" hidden="false" customHeight="false" outlineLevel="0" collapsed="false">
      <c r="C3" s="5"/>
      <c r="D3" s="5"/>
      <c r="E3" s="5"/>
      <c r="F3" s="5"/>
    </row>
    <row r="4" customFormat="false" ht="15.75" hidden="false" customHeight="false" outlineLevel="0" collapsed="false">
      <c r="A4" s="23"/>
      <c r="B4" s="24"/>
      <c r="C4" s="24"/>
      <c r="D4" s="24"/>
      <c r="E4" s="24"/>
      <c r="F4" s="24"/>
    </row>
    <row r="5" customFormat="false" ht="15.75" hidden="false" customHeight="false" outlineLevel="0" collapsed="false">
      <c r="A5" s="23"/>
      <c r="B5" s="24"/>
      <c r="C5" s="24"/>
      <c r="D5" s="24"/>
      <c r="E5" s="24"/>
      <c r="F5" s="24"/>
    </row>
    <row r="6" customFormat="false" ht="15.75" hidden="false" customHeight="false" outlineLevel="0" collapsed="false">
      <c r="A6" s="23"/>
      <c r="B6" s="24"/>
      <c r="C6" s="24"/>
      <c r="D6" s="24"/>
      <c r="E6" s="24"/>
      <c r="F6" s="24"/>
    </row>
    <row r="7" customFormat="false" ht="15.75" hidden="false" customHeight="false" outlineLevel="0" collapsed="false">
      <c r="A7" s="23"/>
      <c r="B7" s="24"/>
      <c r="C7" s="24"/>
      <c r="D7" s="24"/>
      <c r="E7" s="24"/>
      <c r="F7" s="24"/>
    </row>
    <row r="8" customFormat="false" ht="15.75" hidden="false" customHeight="false" outlineLevel="0" collapsed="false">
      <c r="A8" s="23"/>
      <c r="B8" s="24"/>
      <c r="C8" s="24"/>
      <c r="D8" s="24"/>
      <c r="E8" s="24"/>
      <c r="F8" s="24"/>
    </row>
    <row r="9" customFormat="false" ht="15.75" hidden="false" customHeight="false" outlineLevel="0" collapsed="false">
      <c r="A9" s="23"/>
      <c r="B9" s="24"/>
      <c r="C9" s="24"/>
      <c r="D9" s="24"/>
      <c r="E9" s="24"/>
      <c r="F9" s="24"/>
    </row>
    <row r="10" customFormat="false" ht="15.75" hidden="false" customHeight="false" outlineLevel="0" collapsed="false">
      <c r="A10" s="23"/>
      <c r="B10" s="24"/>
      <c r="C10" s="24"/>
      <c r="D10" s="24"/>
      <c r="E10" s="24"/>
      <c r="F10" s="24"/>
    </row>
    <row r="11" customFormat="false" ht="15.75" hidden="false" customHeight="false" outlineLevel="0" collapsed="false">
      <c r="A11" s="23"/>
      <c r="B11" s="24"/>
      <c r="C11" s="24"/>
      <c r="D11" s="24"/>
      <c r="E11" s="24"/>
      <c r="F11" s="24"/>
    </row>
    <row r="12" customFormat="false" ht="15.75" hidden="false" customHeight="false" outlineLevel="0" collapsed="false">
      <c r="A12" s="23"/>
      <c r="B12" s="24"/>
      <c r="C12" s="24"/>
      <c r="D12" s="24"/>
      <c r="E12" s="24"/>
      <c r="F12" s="24"/>
    </row>
    <row r="13" customFormat="false" ht="15.75" hidden="false" customHeight="false" outlineLevel="0" collapsed="false">
      <c r="A13" s="23"/>
      <c r="B13" s="24"/>
      <c r="C13" s="24"/>
      <c r="D13" s="24"/>
      <c r="E13" s="24"/>
      <c r="F13" s="24"/>
    </row>
    <row r="14" customFormat="false" ht="15.75" hidden="false" customHeight="false" outlineLevel="0" collapsed="false">
      <c r="A14" s="23"/>
      <c r="B14" s="24"/>
      <c r="C14" s="24"/>
      <c r="D14" s="24"/>
      <c r="E14" s="24"/>
      <c r="F14" s="24"/>
    </row>
    <row r="15" customFormat="false" ht="15.75" hidden="false" customHeight="false" outlineLevel="0" collapsed="false">
      <c r="A15" s="23"/>
      <c r="B15" s="24"/>
      <c r="C15" s="24"/>
      <c r="D15" s="24"/>
      <c r="E15" s="24"/>
      <c r="F15" s="24"/>
    </row>
    <row r="16" customFormat="false" ht="15.75" hidden="false" customHeight="false" outlineLevel="0" collapsed="false">
      <c r="A16" s="23"/>
      <c r="B16" s="24"/>
      <c r="C16" s="24"/>
      <c r="D16" s="24"/>
      <c r="E16" s="24"/>
      <c r="F16" s="24"/>
    </row>
    <row r="17" customFormat="false" ht="15.75" hidden="false" customHeight="false" outlineLevel="0" collapsed="false">
      <c r="A17" s="23"/>
      <c r="B17" s="24"/>
      <c r="C17" s="24"/>
      <c r="D17" s="24"/>
      <c r="E17" s="24"/>
      <c r="F17" s="24"/>
    </row>
    <row r="18" customFormat="false" ht="15.75" hidden="false" customHeight="false" outlineLevel="0" collapsed="false">
      <c r="A18" s="23"/>
      <c r="B18" s="24"/>
      <c r="C18" s="24"/>
      <c r="D18" s="24"/>
      <c r="E18" s="24"/>
      <c r="F18" s="24"/>
    </row>
    <row r="19" customFormat="false" ht="15.75" hidden="false" customHeight="false" outlineLevel="0" collapsed="false">
      <c r="A19" s="23"/>
      <c r="B19" s="24"/>
      <c r="C19" s="24"/>
      <c r="D19" s="24"/>
      <c r="E19" s="24"/>
      <c r="F19" s="24"/>
    </row>
    <row r="20" customFormat="false" ht="15.75" hidden="false" customHeight="false" outlineLevel="0" collapsed="false">
      <c r="A20" s="23"/>
      <c r="B20" s="24"/>
      <c r="C20" s="24"/>
      <c r="D20" s="24"/>
      <c r="E20" s="24"/>
      <c r="F20" s="24"/>
    </row>
    <row r="21" customFormat="false" ht="15.75" hidden="false" customHeight="false" outlineLevel="0" collapsed="false">
      <c r="A21" s="23"/>
      <c r="B21" s="24"/>
      <c r="C21" s="24"/>
      <c r="D21" s="24"/>
      <c r="E21" s="24"/>
      <c r="F21" s="24"/>
    </row>
    <row r="22" customFormat="false" ht="15.75" hidden="false" customHeight="false" outlineLevel="0" collapsed="false">
      <c r="A22" s="23"/>
      <c r="B22" s="24"/>
      <c r="C22" s="24"/>
      <c r="D22" s="24"/>
      <c r="E22" s="24"/>
      <c r="F22" s="24"/>
    </row>
    <row r="23" customFormat="false" ht="15.75" hidden="false" customHeight="false" outlineLevel="0" collapsed="false">
      <c r="A23" s="23"/>
      <c r="B23" s="24"/>
      <c r="C23" s="24"/>
      <c r="D23" s="24"/>
      <c r="E23" s="24"/>
      <c r="F23" s="24"/>
    </row>
    <row r="24" customFormat="false" ht="15.75" hidden="false" customHeight="false" outlineLevel="0" collapsed="false">
      <c r="A24" s="23"/>
      <c r="B24" s="24"/>
      <c r="C24" s="24"/>
      <c r="D24" s="24"/>
      <c r="E24" s="24"/>
      <c r="F24" s="24"/>
    </row>
    <row r="25" customFormat="false" ht="15.75" hidden="false" customHeight="false" outlineLevel="0" collapsed="false">
      <c r="A25" s="23"/>
      <c r="B25" s="24"/>
      <c r="C25" s="24"/>
      <c r="D25" s="24"/>
      <c r="E25" s="24"/>
      <c r="F25" s="24"/>
    </row>
    <row r="26" customFormat="false" ht="15.75" hidden="false" customHeight="false" outlineLevel="0" collapsed="false">
      <c r="A26" s="23"/>
      <c r="B26" s="24"/>
      <c r="C26" s="24"/>
      <c r="D26" s="24"/>
      <c r="E26" s="24"/>
      <c r="F26" s="24"/>
    </row>
    <row r="27" customFormat="false" ht="15.75" hidden="false" customHeight="false" outlineLevel="0" collapsed="false">
      <c r="A27" s="23"/>
      <c r="B27" s="24"/>
      <c r="C27" s="24"/>
      <c r="D27" s="24"/>
      <c r="E27" s="24"/>
      <c r="F27" s="24"/>
    </row>
    <row r="28" customFormat="false" ht="15.75" hidden="false" customHeight="false" outlineLevel="0" collapsed="false">
      <c r="A28" s="23"/>
      <c r="B28" s="24"/>
      <c r="C28" s="24"/>
      <c r="D28" s="24"/>
      <c r="E28" s="24"/>
      <c r="F28" s="24"/>
    </row>
    <row r="29" customFormat="false" ht="15.75" hidden="false" customHeight="false" outlineLevel="0" collapsed="false">
      <c r="A29" s="23"/>
      <c r="B29" s="24"/>
      <c r="C29" s="24"/>
      <c r="D29" s="24"/>
      <c r="E29" s="24"/>
      <c r="F29" s="24"/>
    </row>
    <row r="30" customFormat="false" ht="15.75" hidden="false" customHeight="false" outlineLevel="0" collapsed="false">
      <c r="A30" s="23"/>
      <c r="B30" s="24"/>
      <c r="C30" s="24"/>
      <c r="D30" s="24"/>
      <c r="E30" s="24"/>
      <c r="F30" s="24"/>
    </row>
    <row r="31" customFormat="false" ht="15.75" hidden="false" customHeight="false" outlineLevel="0" collapsed="false">
      <c r="A31" s="23"/>
      <c r="B31" s="24"/>
      <c r="C31" s="24"/>
      <c r="D31" s="24"/>
      <c r="E31" s="24"/>
      <c r="F31" s="24"/>
    </row>
    <row r="32" customFormat="false" ht="15.75" hidden="false" customHeight="false" outlineLevel="0" collapsed="false">
      <c r="A32" s="23"/>
      <c r="B32" s="24"/>
      <c r="C32" s="24"/>
      <c r="D32" s="24"/>
      <c r="E32" s="24"/>
      <c r="F32" s="24"/>
    </row>
    <row r="33" customFormat="false" ht="15.75" hidden="false" customHeight="false" outlineLevel="0" collapsed="false">
      <c r="A33" s="23"/>
      <c r="B33" s="24"/>
      <c r="C33" s="24"/>
      <c r="D33" s="24"/>
      <c r="E33" s="24"/>
      <c r="F33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M25"/>
  <sheetViews>
    <sheetView showFormulas="false" showGridLines="true" showRowColHeaders="true" showZeros="true" rightToLeft="false" tabSelected="false" showOutlineSymbols="true" defaultGridColor="true" view="normal" topLeftCell="AC3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5.41"/>
    <col collapsed="false" customWidth="true" hidden="false" outlineLevel="0" max="3" min="3" style="1" width="11.85"/>
    <col collapsed="false" customWidth="true" hidden="false" outlineLevel="0" max="5" min="4" style="1" width="11.28"/>
  </cols>
  <sheetData>
    <row r="2" customFormat="false" ht="12.75" hidden="false" customHeight="false" outlineLevel="0" collapsed="false">
      <c r="A2" s="1" t="s">
        <v>4</v>
      </c>
      <c r="B2" s="1" t="n">
        <v>0.1</v>
      </c>
    </row>
    <row r="3" customFormat="false" ht="12.75" hidden="false" customHeight="false" outlineLevel="0" collapsed="false">
      <c r="A3" s="1" t="s">
        <v>5</v>
      </c>
      <c r="B3" s="1" t="n">
        <v>100000</v>
      </c>
    </row>
    <row r="4" customFormat="false" ht="12.75" hidden="false" customHeight="false" outlineLevel="0" collapsed="false">
      <c r="A4" s="1" t="s">
        <v>6</v>
      </c>
      <c r="B4" s="1" t="n">
        <f aca="false">B2*B3</f>
        <v>10000</v>
      </c>
    </row>
    <row r="5" customFormat="false" ht="12.75" hidden="false" customHeight="false" outlineLevel="0" collapsed="false">
      <c r="B5" s="5" t="s">
        <v>7</v>
      </c>
      <c r="C5" s="5" t="s">
        <v>8</v>
      </c>
      <c r="D5" s="5" t="s">
        <v>9</v>
      </c>
      <c r="E5" s="5" t="s">
        <v>10</v>
      </c>
      <c r="F5" s="1" t="n">
        <f aca="false">-0.8*100000</f>
        <v>-80000</v>
      </c>
      <c r="G5" s="1" t="n">
        <v>1</v>
      </c>
      <c r="H5" s="1" t="n">
        <v>2</v>
      </c>
      <c r="I5" s="1" t="n">
        <v>3</v>
      </c>
      <c r="J5" s="1" t="n">
        <v>4</v>
      </c>
      <c r="K5" s="1" t="n">
        <v>5</v>
      </c>
      <c r="L5" s="1" t="n">
        <v>6</v>
      </c>
      <c r="M5" s="1" t="n">
        <v>7</v>
      </c>
      <c r="N5" s="1" t="n">
        <v>8</v>
      </c>
      <c r="O5" s="1" t="n">
        <v>9</v>
      </c>
      <c r="P5" s="1" t="n">
        <v>10</v>
      </c>
      <c r="Q5" s="1" t="n">
        <v>11</v>
      </c>
      <c r="R5" s="1" t="n">
        <v>12</v>
      </c>
      <c r="S5" s="1" t="n">
        <v>13</v>
      </c>
      <c r="T5" s="1" t="n">
        <v>14</v>
      </c>
      <c r="U5" s="1" t="n">
        <v>15</v>
      </c>
      <c r="V5" s="1" t="n">
        <v>16</v>
      </c>
      <c r="W5" s="1" t="n">
        <v>17</v>
      </c>
      <c r="X5" s="1" t="n">
        <v>18</v>
      </c>
      <c r="Y5" s="1" t="n">
        <v>19</v>
      </c>
      <c r="Z5" s="1" t="n">
        <v>20</v>
      </c>
      <c r="AM5" s="1" t="s">
        <v>11</v>
      </c>
    </row>
    <row r="6" customFormat="false" ht="12.75" hidden="false" customHeight="false" outlineLevel="0" collapsed="false">
      <c r="A6" s="1" t="n">
        <v>1</v>
      </c>
      <c r="B6" s="6" t="n">
        <f aca="false">IRR(F6:G6,0.1)</f>
        <v>0.375</v>
      </c>
      <c r="C6" s="6" t="n">
        <v>-0.0833333333333315</v>
      </c>
      <c r="D6" s="6" t="n">
        <v>0.374999999999997</v>
      </c>
      <c r="E6" s="6" t="n">
        <v>0.1</v>
      </c>
      <c r="F6" s="1" t="n">
        <f aca="false">$F$5</f>
        <v>-80000</v>
      </c>
      <c r="G6" s="1" t="n">
        <f aca="false">B3+B4</f>
        <v>110000</v>
      </c>
    </row>
    <row r="7" customFormat="false" ht="12.75" hidden="false" customHeight="false" outlineLevel="0" collapsed="false">
      <c r="A7" s="1" t="n">
        <v>2</v>
      </c>
      <c r="B7" s="6" t="n">
        <f aca="false">IRR(F7:H7,0.1)</f>
        <v>0.236768389253496</v>
      </c>
      <c r="C7" s="6" t="n">
        <v>-3.43707532172253E-017</v>
      </c>
      <c r="D7" s="6" t="n">
        <v>0.236768389253496</v>
      </c>
      <c r="E7" s="6" t="n">
        <v>0.1</v>
      </c>
      <c r="F7" s="1" t="n">
        <f aca="false">$F$5</f>
        <v>-80000</v>
      </c>
      <c r="G7" s="1" t="n">
        <f aca="false">$B$4</f>
        <v>10000</v>
      </c>
      <c r="H7" s="1" t="n">
        <f aca="false">$B$4+$B$3</f>
        <v>110000</v>
      </c>
    </row>
    <row r="8" customFormat="false" ht="12.75" hidden="false" customHeight="false" outlineLevel="0" collapsed="false">
      <c r="A8" s="1" t="n">
        <v>3</v>
      </c>
      <c r="B8" s="6" t="n">
        <f aca="false">IRR(F8:I8,0.1)</f>
        <v>0.194063606556439</v>
      </c>
      <c r="C8" s="6" t="n">
        <v>0.0293784103140557</v>
      </c>
      <c r="D8" s="6" t="n">
        <v>0.194063606556439</v>
      </c>
      <c r="E8" s="6" t="n">
        <v>0.1</v>
      </c>
      <c r="F8" s="1" t="n">
        <f aca="false">$F$5</f>
        <v>-80000</v>
      </c>
      <c r="G8" s="1" t="n">
        <f aca="false">$B$4</f>
        <v>10000</v>
      </c>
      <c r="H8" s="1" t="n">
        <f aca="false">$B$4</f>
        <v>10000</v>
      </c>
      <c r="I8" s="1" t="n">
        <f aca="false">H7</f>
        <v>110000</v>
      </c>
    </row>
    <row r="9" customFormat="false" ht="12.75" hidden="false" customHeight="false" outlineLevel="0" collapsed="false">
      <c r="A9" s="1" t="n">
        <v>4</v>
      </c>
      <c r="B9" s="6" t="n">
        <f aca="false">IRR($F9:J9,0.1)</f>
        <v>0.173394792923602</v>
      </c>
      <c r="C9" s="6" t="n">
        <v>0.0443376406587214</v>
      </c>
      <c r="D9" s="6" t="n">
        <v>0.173394792923619</v>
      </c>
      <c r="E9" s="6" t="n">
        <v>0.1</v>
      </c>
      <c r="F9" s="1" t="n">
        <f aca="false">$F$5</f>
        <v>-80000</v>
      </c>
      <c r="G9" s="1" t="n">
        <f aca="false">$B$4</f>
        <v>10000</v>
      </c>
      <c r="H9" s="1" t="n">
        <f aca="false">$B$4</f>
        <v>10000</v>
      </c>
      <c r="I9" s="1" t="n">
        <f aca="false">$B$4</f>
        <v>10000</v>
      </c>
      <c r="J9" s="1" t="n">
        <f aca="false">I8</f>
        <v>110000</v>
      </c>
    </row>
    <row r="10" customFormat="false" ht="12.75" hidden="false" customHeight="false" outlineLevel="0" collapsed="false">
      <c r="A10" s="1" t="n">
        <v>5</v>
      </c>
      <c r="B10" s="6" t="n">
        <f aca="false">IRR($F10:K10,0.1)</f>
        <v>0.161261756739074</v>
      </c>
      <c r="C10" s="6" t="n">
        <v>0.0533734246972753</v>
      </c>
      <c r="D10" s="6" t="n">
        <v>0.161261756739086</v>
      </c>
      <c r="E10" s="6" t="n">
        <v>0.1</v>
      </c>
      <c r="F10" s="1" t="n">
        <f aca="false">$F$5</f>
        <v>-80000</v>
      </c>
      <c r="G10" s="1" t="n">
        <f aca="false">$B$4</f>
        <v>10000</v>
      </c>
      <c r="H10" s="1" t="n">
        <f aca="false">$B$4</f>
        <v>10000</v>
      </c>
      <c r="I10" s="1" t="n">
        <f aca="false">$B$4</f>
        <v>10000</v>
      </c>
      <c r="J10" s="1" t="n">
        <f aca="false">$B$4</f>
        <v>10000</v>
      </c>
      <c r="K10" s="1" t="n">
        <f aca="false">J9</f>
        <v>110000</v>
      </c>
    </row>
    <row r="11" customFormat="false" ht="12.75" hidden="false" customHeight="false" outlineLevel="0" collapsed="false">
      <c r="A11" s="1" t="n">
        <v>6</v>
      </c>
      <c r="B11" s="6" t="n">
        <f aca="false">IRR($F11:L11,0.1)</f>
        <v>0.15332084290467</v>
      </c>
      <c r="C11" s="6" t="n">
        <v>0.0594036497659444</v>
      </c>
      <c r="D11" s="6" t="n">
        <v>0.153320842904681</v>
      </c>
      <c r="E11" s="6" t="n">
        <v>0.1</v>
      </c>
      <c r="F11" s="1" t="n">
        <f aca="false">$F$5</f>
        <v>-80000</v>
      </c>
      <c r="G11" s="1" t="n">
        <f aca="false">$B$4</f>
        <v>10000</v>
      </c>
      <c r="H11" s="1" t="n">
        <f aca="false">$B$4</f>
        <v>10000</v>
      </c>
      <c r="I11" s="1" t="n">
        <f aca="false">$B$4</f>
        <v>10000</v>
      </c>
      <c r="J11" s="1" t="n">
        <f aca="false">$B$4</f>
        <v>10000</v>
      </c>
      <c r="K11" s="1" t="n">
        <f aca="false">$B$4</f>
        <v>10000</v>
      </c>
      <c r="L11" s="1" t="n">
        <f aca="false">K10</f>
        <v>110000</v>
      </c>
    </row>
    <row r="12" customFormat="false" ht="12.75" hidden="false" customHeight="false" outlineLevel="0" collapsed="false">
      <c r="A12" s="1" t="n">
        <v>7</v>
      </c>
      <c r="B12" s="6" t="n">
        <f aca="false">IRR($F12:M12,0.1)</f>
        <v>0.147747696791622</v>
      </c>
      <c r="C12" s="6" t="n">
        <v>0.0637003803269131</v>
      </c>
      <c r="D12" s="6" t="n">
        <v>0.147747696791633</v>
      </c>
      <c r="E12" s="6" t="n">
        <v>0.1</v>
      </c>
      <c r="F12" s="1" t="n">
        <f aca="false">$F$5</f>
        <v>-80000</v>
      </c>
      <c r="G12" s="1" t="n">
        <f aca="false">$B$4</f>
        <v>10000</v>
      </c>
      <c r="H12" s="1" t="n">
        <f aca="false">$B$4</f>
        <v>10000</v>
      </c>
      <c r="I12" s="1" t="n">
        <f aca="false">$B$4</f>
        <v>10000</v>
      </c>
      <c r="J12" s="1" t="n">
        <f aca="false">$B$4</f>
        <v>10000</v>
      </c>
      <c r="K12" s="1" t="n">
        <f aca="false">$B$4</f>
        <v>10000</v>
      </c>
      <c r="L12" s="1" t="n">
        <f aca="false">$B$4</f>
        <v>10000</v>
      </c>
      <c r="M12" s="1" t="n">
        <f aca="false">L11</f>
        <v>110000</v>
      </c>
    </row>
    <row r="13" customFormat="false" ht="12.75" hidden="false" customHeight="false" outlineLevel="0" collapsed="false">
      <c r="A13" s="1" t="n">
        <v>8</v>
      </c>
      <c r="B13" s="7" t="n">
        <f aca="false">IRR($F13:N13,0.1)</f>
        <v>0.143642084449467</v>
      </c>
      <c r="C13" s="6" t="n">
        <v>0.0669068264939176</v>
      </c>
      <c r="D13" s="6" t="n">
        <v>0.143642084449478</v>
      </c>
      <c r="E13" s="6" t="n">
        <v>0.1</v>
      </c>
      <c r="F13" s="1" t="n">
        <f aca="false">$F$5</f>
        <v>-80000</v>
      </c>
      <c r="G13" s="1" t="n">
        <f aca="false">$B$4</f>
        <v>10000</v>
      </c>
      <c r="H13" s="1" t="n">
        <f aca="false">$B$4</f>
        <v>10000</v>
      </c>
      <c r="I13" s="1" t="n">
        <f aca="false">$B$4</f>
        <v>10000</v>
      </c>
      <c r="J13" s="1" t="n">
        <f aca="false">$B$4</f>
        <v>10000</v>
      </c>
      <c r="K13" s="1" t="n">
        <f aca="false">$B$4</f>
        <v>10000</v>
      </c>
      <c r="L13" s="1" t="n">
        <f aca="false">$B$4</f>
        <v>10000</v>
      </c>
      <c r="M13" s="1" t="n">
        <f aca="false">$B$4</f>
        <v>10000</v>
      </c>
      <c r="N13" s="1" t="n">
        <f aca="false">M12</f>
        <v>110000</v>
      </c>
    </row>
    <row r="14" customFormat="false" ht="12.75" hidden="false" customHeight="false" outlineLevel="0" collapsed="false">
      <c r="A14" s="1" t="n">
        <v>9</v>
      </c>
      <c r="B14" s="7" t="n">
        <f aca="false">IRR($F14:O14,0.1)</f>
        <v>0.140508482782328</v>
      </c>
      <c r="C14" s="6" t="n">
        <v>0.0693832015695749</v>
      </c>
      <c r="D14" s="6" t="n">
        <v>0.140508482782341</v>
      </c>
      <c r="E14" s="6" t="n">
        <v>0.1</v>
      </c>
      <c r="F14" s="1" t="n">
        <f aca="false">$F$5</f>
        <v>-80000</v>
      </c>
      <c r="G14" s="1" t="n">
        <f aca="false">$B$4</f>
        <v>10000</v>
      </c>
      <c r="H14" s="1" t="n">
        <f aca="false">$B$4</f>
        <v>10000</v>
      </c>
      <c r="I14" s="1" t="n">
        <f aca="false">$B$4</f>
        <v>10000</v>
      </c>
      <c r="J14" s="1" t="n">
        <f aca="false">$B$4</f>
        <v>10000</v>
      </c>
      <c r="K14" s="1" t="n">
        <f aca="false">$B$4</f>
        <v>10000</v>
      </c>
      <c r="L14" s="1" t="n">
        <f aca="false">$B$4</f>
        <v>10000</v>
      </c>
      <c r="M14" s="1" t="n">
        <f aca="false">$B$4</f>
        <v>10000</v>
      </c>
      <c r="N14" s="1" t="n">
        <f aca="false">$B$4</f>
        <v>10000</v>
      </c>
      <c r="O14" s="1" t="n">
        <f aca="false">N13</f>
        <v>110000</v>
      </c>
    </row>
    <row r="15" customFormat="false" ht="12.75" hidden="false" customHeight="false" outlineLevel="0" collapsed="false">
      <c r="A15" s="1" t="n">
        <v>10</v>
      </c>
      <c r="B15" s="7" t="n">
        <f aca="false">IRR($F15:P15,0.1)</f>
        <v>0.138051586118202</v>
      </c>
      <c r="C15" s="6" t="n">
        <v>0.0713469456928974</v>
      </c>
      <c r="D15" s="6" t="n">
        <v>0.138051586118217</v>
      </c>
      <c r="E15" s="6" t="n">
        <v>0.1</v>
      </c>
      <c r="F15" s="1" t="n">
        <f aca="false">$F$5</f>
        <v>-80000</v>
      </c>
      <c r="G15" s="1" t="n">
        <f aca="false">$B$4</f>
        <v>10000</v>
      </c>
      <c r="H15" s="1" t="n">
        <f aca="false">$B$4</f>
        <v>10000</v>
      </c>
      <c r="I15" s="1" t="n">
        <f aca="false">$B$4</f>
        <v>10000</v>
      </c>
      <c r="J15" s="1" t="n">
        <f aca="false">$B$4</f>
        <v>10000</v>
      </c>
      <c r="K15" s="1" t="n">
        <f aca="false">$B$4</f>
        <v>10000</v>
      </c>
      <c r="L15" s="1" t="n">
        <f aca="false">$B$4</f>
        <v>10000</v>
      </c>
      <c r="M15" s="1" t="n">
        <f aca="false">$B$4</f>
        <v>10000</v>
      </c>
      <c r="N15" s="1" t="n">
        <f aca="false">$B$4</f>
        <v>10000</v>
      </c>
      <c r="O15" s="1" t="n">
        <f aca="false">$B$4</f>
        <v>10000</v>
      </c>
      <c r="P15" s="1" t="n">
        <f aca="false">O14</f>
        <v>110000</v>
      </c>
    </row>
    <row r="16" customFormat="false" ht="12.75" hidden="false" customHeight="false" outlineLevel="0" collapsed="false">
      <c r="A16" s="1" t="n">
        <v>11</v>
      </c>
      <c r="B16" s="7" t="n">
        <f aca="false">IRR($F16:Q16,0.1)</f>
        <v>0.136084423957919</v>
      </c>
      <c r="C16" s="6" t="n">
        <v>0.072937091533089</v>
      </c>
      <c r="D16" s="6" t="n">
        <v>0.136084423957936</v>
      </c>
      <c r="E16" s="6" t="n">
        <v>0.1</v>
      </c>
      <c r="F16" s="1" t="n">
        <f aca="false">$F$5</f>
        <v>-80000</v>
      </c>
      <c r="G16" s="1" t="n">
        <f aca="false">$B$4</f>
        <v>10000</v>
      </c>
      <c r="H16" s="1" t="n">
        <f aca="false">$B$4</f>
        <v>10000</v>
      </c>
      <c r="I16" s="1" t="n">
        <f aca="false">$B$4</f>
        <v>10000</v>
      </c>
      <c r="J16" s="1" t="n">
        <f aca="false">$B$4</f>
        <v>10000</v>
      </c>
      <c r="K16" s="1" t="n">
        <f aca="false">$B$4</f>
        <v>10000</v>
      </c>
      <c r="L16" s="1" t="n">
        <f aca="false">$B$4</f>
        <v>10000</v>
      </c>
      <c r="M16" s="1" t="n">
        <f aca="false">$B$4</f>
        <v>10000</v>
      </c>
      <c r="N16" s="1" t="n">
        <f aca="false">$B$4</f>
        <v>10000</v>
      </c>
      <c r="O16" s="1" t="n">
        <f aca="false">$B$4</f>
        <v>10000</v>
      </c>
      <c r="P16" s="1" t="n">
        <f aca="false">$B$4</f>
        <v>10000</v>
      </c>
      <c r="Q16" s="1" t="n">
        <f aca="false">P15</f>
        <v>110000</v>
      </c>
    </row>
    <row r="17" customFormat="false" ht="12.75" hidden="false" customHeight="false" outlineLevel="0" collapsed="false">
      <c r="A17" s="1" t="n">
        <v>12</v>
      </c>
      <c r="B17" s="7" t="n">
        <f aca="false">IRR($F17:R17,0.1)</f>
        <v>0.134482825253986</v>
      </c>
      <c r="C17" s="6" t="n">
        <v>0.0742466885574453</v>
      </c>
      <c r="D17" s="6" t="n">
        <v>0.134482825254007</v>
      </c>
      <c r="E17" s="6" t="n">
        <v>0.1</v>
      </c>
      <c r="F17" s="1" t="n">
        <f aca="false">$F$5</f>
        <v>-80000</v>
      </c>
      <c r="G17" s="1" t="n">
        <f aca="false">$B$4</f>
        <v>10000</v>
      </c>
      <c r="H17" s="1" t="n">
        <f aca="false">$B$4</f>
        <v>10000</v>
      </c>
      <c r="I17" s="1" t="n">
        <f aca="false">$B$4</f>
        <v>10000</v>
      </c>
      <c r="J17" s="1" t="n">
        <f aca="false">$B$4</f>
        <v>10000</v>
      </c>
      <c r="K17" s="1" t="n">
        <f aca="false">$B$4</f>
        <v>10000</v>
      </c>
      <c r="L17" s="1" t="n">
        <f aca="false">$B$4</f>
        <v>10000</v>
      </c>
      <c r="M17" s="1" t="n">
        <f aca="false">$B$4</f>
        <v>10000</v>
      </c>
      <c r="N17" s="1" t="n">
        <f aca="false">$B$4</f>
        <v>10000</v>
      </c>
      <c r="O17" s="1" t="n">
        <f aca="false">$B$4</f>
        <v>10000</v>
      </c>
      <c r="P17" s="1" t="n">
        <f aca="false">$B$4</f>
        <v>10000</v>
      </c>
      <c r="Q17" s="1" t="n">
        <f aca="false">$B$4</f>
        <v>10000</v>
      </c>
      <c r="R17" s="1" t="n">
        <f aca="false">Q16</f>
        <v>110000</v>
      </c>
    </row>
    <row r="18" customFormat="false" ht="12.75" hidden="false" customHeight="false" outlineLevel="0" collapsed="false">
      <c r="A18" s="1" t="n">
        <v>13</v>
      </c>
      <c r="B18" s="7" t="n">
        <f aca="false">IRR($F18:S18,0.1)</f>
        <v>0.133161071103214</v>
      </c>
      <c r="C18" s="6" t="n">
        <v>0.0753403656654802</v>
      </c>
      <c r="D18" s="6" t="n">
        <v>0.133161071103239</v>
      </c>
      <c r="E18" s="6" t="n">
        <v>0.1</v>
      </c>
      <c r="F18" s="1" t="n">
        <f aca="false">$F$5</f>
        <v>-80000</v>
      </c>
      <c r="G18" s="1" t="n">
        <f aca="false">$B$4</f>
        <v>10000</v>
      </c>
      <c r="H18" s="1" t="n">
        <f aca="false">$B$4</f>
        <v>10000</v>
      </c>
      <c r="I18" s="1" t="n">
        <f aca="false">$B$4</f>
        <v>10000</v>
      </c>
      <c r="J18" s="1" t="n">
        <f aca="false">$B$4</f>
        <v>10000</v>
      </c>
      <c r="K18" s="1" t="n">
        <f aca="false">$B$4</f>
        <v>10000</v>
      </c>
      <c r="L18" s="1" t="n">
        <f aca="false">$B$4</f>
        <v>10000</v>
      </c>
      <c r="M18" s="1" t="n">
        <f aca="false">$B$4</f>
        <v>10000</v>
      </c>
      <c r="N18" s="1" t="n">
        <f aca="false">$B$4</f>
        <v>10000</v>
      </c>
      <c r="O18" s="1" t="n">
        <f aca="false">$B$4</f>
        <v>10000</v>
      </c>
      <c r="P18" s="1" t="n">
        <f aca="false">$B$4</f>
        <v>10000</v>
      </c>
      <c r="Q18" s="1" t="n">
        <f aca="false">$B$4</f>
        <v>10000</v>
      </c>
      <c r="R18" s="1" t="n">
        <f aca="false">$B$4</f>
        <v>10000</v>
      </c>
      <c r="S18" s="1" t="n">
        <f aca="false">R17</f>
        <v>110000</v>
      </c>
    </row>
    <row r="19" customFormat="false" ht="12.75" hidden="false" customHeight="false" outlineLevel="0" collapsed="false">
      <c r="A19" s="1" t="n">
        <v>14</v>
      </c>
      <c r="B19" s="7" t="n">
        <f aca="false">IRR($F19:T19,0.1)</f>
        <v>0.132058061659303</v>
      </c>
      <c r="C19" s="6" t="n">
        <v>0.0762644152068725</v>
      </c>
      <c r="D19" s="6" t="n">
        <v>0.132058061659332</v>
      </c>
      <c r="E19" s="6" t="n">
        <v>0.1</v>
      </c>
      <c r="F19" s="1" t="n">
        <f aca="false">$F$5</f>
        <v>-80000</v>
      </c>
      <c r="G19" s="1" t="n">
        <f aca="false">$B$4</f>
        <v>10000</v>
      </c>
      <c r="H19" s="1" t="n">
        <f aca="false">$B$4</f>
        <v>10000</v>
      </c>
      <c r="I19" s="1" t="n">
        <f aca="false">$B$4</f>
        <v>10000</v>
      </c>
      <c r="J19" s="1" t="n">
        <f aca="false">$B$4</f>
        <v>10000</v>
      </c>
      <c r="K19" s="1" t="n">
        <f aca="false">$B$4</f>
        <v>10000</v>
      </c>
      <c r="L19" s="1" t="n">
        <f aca="false">$B$4</f>
        <v>10000</v>
      </c>
      <c r="M19" s="1" t="n">
        <f aca="false">$B$4</f>
        <v>10000</v>
      </c>
      <c r="N19" s="1" t="n">
        <f aca="false">$B$4</f>
        <v>10000</v>
      </c>
      <c r="O19" s="1" t="n">
        <f aca="false">$B$4</f>
        <v>10000</v>
      </c>
      <c r="P19" s="1" t="n">
        <f aca="false">$B$4</f>
        <v>10000</v>
      </c>
      <c r="Q19" s="1" t="n">
        <f aca="false">$B$4</f>
        <v>10000</v>
      </c>
      <c r="R19" s="1" t="n">
        <f aca="false">$B$4</f>
        <v>10000</v>
      </c>
      <c r="S19" s="1" t="n">
        <f aca="false">$B$4</f>
        <v>10000</v>
      </c>
      <c r="T19" s="1" t="n">
        <f aca="false">S18</f>
        <v>110000</v>
      </c>
    </row>
    <row r="20" customFormat="false" ht="12.75" hidden="false" customHeight="false" outlineLevel="0" collapsed="false">
      <c r="A20" s="1" t="n">
        <v>15</v>
      </c>
      <c r="B20" s="7" t="n">
        <f aca="false">IRR($F20:U20,0.1)</f>
        <v>0.131129055945287</v>
      </c>
      <c r="C20" s="6" t="n">
        <v>0.0770528674934849</v>
      </c>
      <c r="D20" s="6" t="n">
        <v>0.131129055945322</v>
      </c>
      <c r="E20" s="6" t="n">
        <v>0.1</v>
      </c>
      <c r="F20" s="1" t="n">
        <f aca="false">$F$5</f>
        <v>-80000</v>
      </c>
      <c r="G20" s="1" t="n">
        <f aca="false">$B$4</f>
        <v>10000</v>
      </c>
      <c r="H20" s="1" t="n">
        <f aca="false">$B$4</f>
        <v>10000</v>
      </c>
      <c r="I20" s="1" t="n">
        <f aca="false">$B$4</f>
        <v>10000</v>
      </c>
      <c r="J20" s="1" t="n">
        <f aca="false">$B$4</f>
        <v>10000</v>
      </c>
      <c r="K20" s="1" t="n">
        <f aca="false">$B$4</f>
        <v>10000</v>
      </c>
      <c r="L20" s="1" t="n">
        <f aca="false">$B$4</f>
        <v>10000</v>
      </c>
      <c r="M20" s="1" t="n">
        <f aca="false">$B$4</f>
        <v>10000</v>
      </c>
      <c r="N20" s="1" t="n">
        <f aca="false">$B$4</f>
        <v>10000</v>
      </c>
      <c r="O20" s="1" t="n">
        <f aca="false">$B$4</f>
        <v>10000</v>
      </c>
      <c r="P20" s="1" t="n">
        <f aca="false">$B$4</f>
        <v>10000</v>
      </c>
      <c r="Q20" s="1" t="n">
        <f aca="false">$B$4</f>
        <v>10000</v>
      </c>
      <c r="R20" s="1" t="n">
        <f aca="false">$B$4</f>
        <v>10000</v>
      </c>
      <c r="S20" s="1" t="n">
        <f aca="false">$B$4</f>
        <v>10000</v>
      </c>
      <c r="T20" s="1" t="n">
        <f aca="false">$B$4</f>
        <v>10000</v>
      </c>
      <c r="U20" s="1" t="n">
        <f aca="false">T19</f>
        <v>110000</v>
      </c>
    </row>
    <row r="21" customFormat="false" ht="12.75" hidden="false" customHeight="false" outlineLevel="0" collapsed="false">
      <c r="A21" s="1" t="n">
        <v>16</v>
      </c>
      <c r="B21" s="7" t="n">
        <f aca="false">IRR($F21:V21,0.1)</f>
        <v>0.130340530200916</v>
      </c>
      <c r="C21" s="6" t="n">
        <v>0.0777313001289232</v>
      </c>
      <c r="D21" s="6" t="n">
        <v>0.130340530200957</v>
      </c>
      <c r="E21" s="6" t="n">
        <v>0.1</v>
      </c>
      <c r="F21" s="1" t="n">
        <f aca="false">$F$5</f>
        <v>-80000</v>
      </c>
      <c r="G21" s="1" t="n">
        <f aca="false">$B$4</f>
        <v>10000</v>
      </c>
      <c r="H21" s="1" t="n">
        <f aca="false">$B$4</f>
        <v>10000</v>
      </c>
      <c r="I21" s="1" t="n">
        <f aca="false">$B$4</f>
        <v>10000</v>
      </c>
      <c r="J21" s="1" t="n">
        <f aca="false">$B$4</f>
        <v>10000</v>
      </c>
      <c r="K21" s="1" t="n">
        <f aca="false">$B$4</f>
        <v>10000</v>
      </c>
      <c r="L21" s="1" t="n">
        <f aca="false">$B$4</f>
        <v>10000</v>
      </c>
      <c r="M21" s="1" t="n">
        <f aca="false">$B$4</f>
        <v>10000</v>
      </c>
      <c r="N21" s="1" t="n">
        <f aca="false">$B$4</f>
        <v>10000</v>
      </c>
      <c r="O21" s="1" t="n">
        <f aca="false">$B$4</f>
        <v>10000</v>
      </c>
      <c r="P21" s="1" t="n">
        <f aca="false">$B$4</f>
        <v>10000</v>
      </c>
      <c r="Q21" s="1" t="n">
        <f aca="false">$B$4</f>
        <v>10000</v>
      </c>
      <c r="R21" s="1" t="n">
        <f aca="false">$B$4</f>
        <v>10000</v>
      </c>
      <c r="S21" s="1" t="n">
        <f aca="false">$B$4</f>
        <v>10000</v>
      </c>
      <c r="T21" s="1" t="n">
        <f aca="false">$B$4</f>
        <v>10000</v>
      </c>
      <c r="U21" s="1" t="n">
        <f aca="false">$B$4</f>
        <v>10000</v>
      </c>
      <c r="V21" s="1" t="n">
        <f aca="false">U20</f>
        <v>110000</v>
      </c>
    </row>
    <row r="22" customFormat="false" ht="12.75" hidden="false" customHeight="false" outlineLevel="0" collapsed="false">
      <c r="A22" s="1" t="n">
        <v>17</v>
      </c>
      <c r="B22" s="7" t="n">
        <f aca="false">IRR($F22:W22,0.1)</f>
        <v>0.12966686257575</v>
      </c>
      <c r="C22" s="6" t="n">
        <v>0.0783193099643799</v>
      </c>
      <c r="D22" s="6" t="n">
        <v>0.1296668625758</v>
      </c>
      <c r="E22" s="6" t="n">
        <v>0.1</v>
      </c>
      <c r="F22" s="1" t="n">
        <f aca="false">$F$5</f>
        <v>-80000</v>
      </c>
      <c r="G22" s="1" t="n">
        <f aca="false">$B$4</f>
        <v>10000</v>
      </c>
      <c r="H22" s="1" t="n">
        <f aca="false">$B$4</f>
        <v>10000</v>
      </c>
      <c r="I22" s="1" t="n">
        <f aca="false">$B$4</f>
        <v>10000</v>
      </c>
      <c r="J22" s="1" t="n">
        <f aca="false">$B$4</f>
        <v>10000</v>
      </c>
      <c r="K22" s="1" t="n">
        <f aca="false">$B$4</f>
        <v>10000</v>
      </c>
      <c r="L22" s="1" t="n">
        <f aca="false">$B$4</f>
        <v>10000</v>
      </c>
      <c r="M22" s="1" t="n">
        <f aca="false">$B$4</f>
        <v>10000</v>
      </c>
      <c r="N22" s="1" t="n">
        <f aca="false">$B$4</f>
        <v>10000</v>
      </c>
      <c r="O22" s="1" t="n">
        <f aca="false">$B$4</f>
        <v>10000</v>
      </c>
      <c r="P22" s="1" t="n">
        <f aca="false">$B$4</f>
        <v>10000</v>
      </c>
      <c r="Q22" s="1" t="n">
        <f aca="false">$B$4</f>
        <v>10000</v>
      </c>
      <c r="R22" s="1" t="n">
        <f aca="false">$B$4</f>
        <v>10000</v>
      </c>
      <c r="S22" s="1" t="n">
        <f aca="false">$B$4</f>
        <v>10000</v>
      </c>
      <c r="T22" s="1" t="n">
        <f aca="false">$B$4</f>
        <v>10000</v>
      </c>
      <c r="U22" s="1" t="n">
        <f aca="false">$B$4</f>
        <v>10000</v>
      </c>
      <c r="V22" s="1" t="n">
        <f aca="false">$B$4</f>
        <v>10000</v>
      </c>
      <c r="W22" s="1" t="n">
        <f aca="false">V21</f>
        <v>110000</v>
      </c>
    </row>
    <row r="23" customFormat="false" ht="12.75" hidden="false" customHeight="false" outlineLevel="0" collapsed="false">
      <c r="A23" s="1" t="n">
        <v>18</v>
      </c>
      <c r="B23" s="7" t="n">
        <f aca="false">IRR($F23:X23,0.1)</f>
        <v>0.129088129661203</v>
      </c>
      <c r="C23" s="6" t="n">
        <v>0.0788321651876263</v>
      </c>
      <c r="D23" s="6" t="n">
        <v>0.129088129661262</v>
      </c>
      <c r="E23" s="6" t="n">
        <v>0.1</v>
      </c>
      <c r="F23" s="1" t="n">
        <f aca="false">$F$5</f>
        <v>-80000</v>
      </c>
      <c r="G23" s="1" t="n">
        <f aca="false">$B$4</f>
        <v>10000</v>
      </c>
      <c r="H23" s="1" t="n">
        <f aca="false">$B$4</f>
        <v>10000</v>
      </c>
      <c r="I23" s="1" t="n">
        <f aca="false">$B$4</f>
        <v>10000</v>
      </c>
      <c r="J23" s="1" t="n">
        <f aca="false">$B$4</f>
        <v>10000</v>
      </c>
      <c r="K23" s="1" t="n">
        <f aca="false">$B$4</f>
        <v>10000</v>
      </c>
      <c r="L23" s="1" t="n">
        <f aca="false">$B$4</f>
        <v>10000</v>
      </c>
      <c r="M23" s="1" t="n">
        <f aca="false">$B$4</f>
        <v>10000</v>
      </c>
      <c r="N23" s="1" t="n">
        <f aca="false">$B$4</f>
        <v>10000</v>
      </c>
      <c r="O23" s="1" t="n">
        <f aca="false">$B$4</f>
        <v>10000</v>
      </c>
      <c r="P23" s="1" t="n">
        <f aca="false">$B$4</f>
        <v>10000</v>
      </c>
      <c r="Q23" s="1" t="n">
        <f aca="false">$B$4</f>
        <v>10000</v>
      </c>
      <c r="R23" s="1" t="n">
        <f aca="false">$B$4</f>
        <v>10000</v>
      </c>
      <c r="S23" s="1" t="n">
        <f aca="false">$B$4</f>
        <v>10000</v>
      </c>
      <c r="T23" s="1" t="n">
        <f aca="false">$B$4</f>
        <v>10000</v>
      </c>
      <c r="U23" s="1" t="n">
        <f aca="false">$B$4</f>
        <v>10000</v>
      </c>
      <c r="V23" s="1" t="n">
        <f aca="false">$B$4</f>
        <v>10000</v>
      </c>
      <c r="W23" s="1" t="n">
        <f aca="false">$B$4</f>
        <v>10000</v>
      </c>
      <c r="X23" s="1" t="n">
        <f aca="false">W22</f>
        <v>110000</v>
      </c>
    </row>
    <row r="24" customFormat="false" ht="12.75" hidden="false" customHeight="false" outlineLevel="0" collapsed="false">
      <c r="A24" s="1" t="n">
        <v>19</v>
      </c>
      <c r="B24" s="7" t="n">
        <f aca="false">IRR($F24:Y24,0.1)</f>
        <v>0.128588602877511</v>
      </c>
      <c r="C24" s="6" t="n">
        <v>0.0792819381829496</v>
      </c>
      <c r="D24" s="6" t="n">
        <v>0.128588602877511</v>
      </c>
      <c r="E24" s="6" t="n">
        <v>0.1</v>
      </c>
      <c r="F24" s="1" t="n">
        <f aca="false">$F$5</f>
        <v>-80000</v>
      </c>
      <c r="G24" s="1" t="n">
        <f aca="false">$B$4</f>
        <v>10000</v>
      </c>
      <c r="H24" s="1" t="n">
        <f aca="false">$B$4</f>
        <v>10000</v>
      </c>
      <c r="I24" s="1" t="n">
        <f aca="false">$B$4</f>
        <v>10000</v>
      </c>
      <c r="J24" s="1" t="n">
        <f aca="false">$B$4</f>
        <v>10000</v>
      </c>
      <c r="K24" s="1" t="n">
        <f aca="false">$B$4</f>
        <v>10000</v>
      </c>
      <c r="L24" s="1" t="n">
        <f aca="false">$B$4</f>
        <v>10000</v>
      </c>
      <c r="M24" s="1" t="n">
        <f aca="false">$B$4</f>
        <v>10000</v>
      </c>
      <c r="N24" s="1" t="n">
        <f aca="false">$B$4</f>
        <v>10000</v>
      </c>
      <c r="O24" s="1" t="n">
        <f aca="false">$B$4</f>
        <v>10000</v>
      </c>
      <c r="P24" s="1" t="n">
        <f aca="false">$B$4</f>
        <v>10000</v>
      </c>
      <c r="Q24" s="1" t="n">
        <f aca="false">$B$4</f>
        <v>10000</v>
      </c>
      <c r="R24" s="1" t="n">
        <f aca="false">$B$4</f>
        <v>10000</v>
      </c>
      <c r="S24" s="1" t="n">
        <f aca="false">$B$4</f>
        <v>10000</v>
      </c>
      <c r="T24" s="1" t="n">
        <f aca="false">$B$4</f>
        <v>10000</v>
      </c>
      <c r="U24" s="1" t="n">
        <f aca="false">$B$4</f>
        <v>10000</v>
      </c>
      <c r="V24" s="1" t="n">
        <f aca="false">$B$4</f>
        <v>10000</v>
      </c>
      <c r="W24" s="1" t="n">
        <f aca="false">$B$4</f>
        <v>10000</v>
      </c>
      <c r="X24" s="1" t="n">
        <f aca="false">$B$4</f>
        <v>10000</v>
      </c>
      <c r="Y24" s="1" t="n">
        <f aca="false">X23</f>
        <v>110000</v>
      </c>
    </row>
    <row r="25" customFormat="false" ht="12.75" hidden="false" customHeight="false" outlineLevel="0" collapsed="false">
      <c r="A25" s="1" t="n">
        <v>20</v>
      </c>
      <c r="B25" s="7" t="n">
        <f aca="false">IRR($F25:Z25,0.1)</f>
        <v>0.128155698399673</v>
      </c>
      <c r="C25" s="6" t="n">
        <v>0.0796783000831832</v>
      </c>
      <c r="D25" s="6" t="n">
        <v>0.128155698399673</v>
      </c>
      <c r="E25" s="6" t="n">
        <v>0.1</v>
      </c>
      <c r="F25" s="1" t="n">
        <f aca="false">$F$5</f>
        <v>-80000</v>
      </c>
      <c r="G25" s="1" t="n">
        <f aca="false">$B$4</f>
        <v>10000</v>
      </c>
      <c r="H25" s="1" t="n">
        <f aca="false">$B$4</f>
        <v>10000</v>
      </c>
      <c r="I25" s="1" t="n">
        <f aca="false">$B$4</f>
        <v>10000</v>
      </c>
      <c r="J25" s="1" t="n">
        <f aca="false">$B$4</f>
        <v>10000</v>
      </c>
      <c r="K25" s="1" t="n">
        <f aca="false">$B$4</f>
        <v>10000</v>
      </c>
      <c r="L25" s="1" t="n">
        <f aca="false">$B$4</f>
        <v>10000</v>
      </c>
      <c r="M25" s="1" t="n">
        <f aca="false">$B$4</f>
        <v>10000</v>
      </c>
      <c r="N25" s="1" t="n">
        <f aca="false">$B$4</f>
        <v>10000</v>
      </c>
      <c r="O25" s="1" t="n">
        <f aca="false">$B$4</f>
        <v>10000</v>
      </c>
      <c r="P25" s="1" t="n">
        <f aca="false">$B$4</f>
        <v>10000</v>
      </c>
      <c r="Q25" s="1" t="n">
        <f aca="false">$B$4</f>
        <v>10000</v>
      </c>
      <c r="R25" s="1" t="n">
        <f aca="false">$B$4</f>
        <v>10000</v>
      </c>
      <c r="S25" s="1" t="n">
        <f aca="false">$B$4</f>
        <v>10000</v>
      </c>
      <c r="T25" s="1" t="n">
        <f aca="false">$B$4</f>
        <v>10000</v>
      </c>
      <c r="U25" s="1" t="n">
        <f aca="false">$B$4</f>
        <v>10000</v>
      </c>
      <c r="V25" s="1" t="n">
        <f aca="false">$B$4</f>
        <v>10000</v>
      </c>
      <c r="W25" s="1" t="n">
        <f aca="false">$B$4</f>
        <v>10000</v>
      </c>
      <c r="X25" s="1" t="n">
        <f aca="false">$B$4</f>
        <v>10000</v>
      </c>
      <c r="Y25" s="1" t="n">
        <f aca="false">$B$4</f>
        <v>10000</v>
      </c>
      <c r="Z25" s="1" t="n">
        <f aca="false">Y24</f>
        <v>110000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Q24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1.7"/>
    <col collapsed="false" customWidth="true" hidden="false" outlineLevel="0" max="3" min="3" style="1" width="19.41"/>
    <col collapsed="false" customWidth="true" hidden="false" outlineLevel="0" max="4" min="4" style="1" width="11.13"/>
    <col collapsed="false" customWidth="true" hidden="false" outlineLevel="0" max="5" min="5" style="1" width="8.99"/>
  </cols>
  <sheetData>
    <row r="1" customFormat="false" ht="12.75" hidden="false" customHeight="false" outlineLevel="0" collapsed="false">
      <c r="A1" s="1" t="str">
        <f aca="false">GNMA!A24</f>
        <v>Year</v>
      </c>
      <c r="B1" s="1" t="n">
        <f aca="false">GNMA!G24</f>
        <v>0</v>
      </c>
      <c r="C1" s="1" t="n">
        <f aca="false">GNMA!H24</f>
        <v>0</v>
      </c>
      <c r="D1" s="1" t="n">
        <f aca="false">GNMA!I24-GNMA!J24</f>
        <v>0</v>
      </c>
      <c r="E1" s="1" t="n">
        <f aca="false">GNMA!J24</f>
        <v>0</v>
      </c>
    </row>
    <row r="2" customFormat="false" ht="12.75" hidden="false" customHeight="false" outlineLevel="0" collapsed="false">
      <c r="A2" s="1" t="str">
        <f aca="false">GNMA!A25</f>
        <v>EOY</v>
      </c>
      <c r="B2" s="1" t="str">
        <f aca="false">GNMA!G25</f>
        <v>Unscheduled Prepayment</v>
      </c>
      <c r="C2" s="1" t="str">
        <f aca="false">GNMA!H25</f>
        <v>Scheduled Payment</v>
      </c>
      <c r="D2" s="1" t="s">
        <v>12</v>
      </c>
      <c r="E2" s="1" t="str">
        <f aca="false">GNMA!J25</f>
        <v>Servicing</v>
      </c>
    </row>
    <row r="3" customFormat="false" ht="12.75" hidden="false" customHeight="false" outlineLevel="0" collapsed="false">
      <c r="A3" s="1" t="n">
        <f aca="false">GNMA!A27</f>
        <v>1</v>
      </c>
      <c r="B3" s="8" t="n">
        <f aca="false">GNMA!G27</f>
        <v>1240413.09818071</v>
      </c>
      <c r="C3" s="8" t="n">
        <f aca="false">GNMA!H27</f>
        <v>632241.818273926</v>
      </c>
      <c r="D3" s="8" t="n">
        <f aca="false">GNMA!I27</f>
        <v>10400000</v>
      </c>
      <c r="E3" s="8" t="n">
        <f aca="false">GNMA!J27</f>
        <v>520000</v>
      </c>
    </row>
    <row r="4" customFormat="false" ht="12.75" hidden="false" customHeight="false" outlineLevel="0" collapsed="false">
      <c r="A4" s="1" t="n">
        <f aca="false">GNMA!A28</f>
        <v>2</v>
      </c>
      <c r="B4" s="8" t="n">
        <f aca="false">GNMA!G28</f>
        <v>3651848.08831603</v>
      </c>
      <c r="C4" s="8" t="n">
        <f aca="false">GNMA!H28</f>
        <v>687120.408100102</v>
      </c>
      <c r="D4" s="8" t="n">
        <f aca="false">GNMA!I28</f>
        <v>10212734.5083545</v>
      </c>
      <c r="E4" s="8" t="n">
        <f aca="false">GNMA!J28</f>
        <v>510636.725417727</v>
      </c>
    </row>
    <row r="5" customFormat="false" ht="12.75" hidden="false" customHeight="false" outlineLevel="0" collapsed="false">
      <c r="A5" s="1" t="n">
        <f aca="false">GNMA!A29</f>
        <v>3</v>
      </c>
      <c r="B5" s="8" t="n">
        <f aca="false">GNMA!G29</f>
        <v>5580935.86111684</v>
      </c>
      <c r="C5" s="8" t="n">
        <f aca="false">GNMA!H29</f>
        <v>728622.48074935</v>
      </c>
      <c r="D5" s="8" t="n">
        <f aca="false">GNMA!I29</f>
        <v>9778837.65871292</v>
      </c>
      <c r="E5" s="8" t="n">
        <f aca="false">GNMA!J29</f>
        <v>488941.882935646</v>
      </c>
    </row>
    <row r="6" customFormat="false" ht="12.75" hidden="false" customHeight="false" outlineLevel="0" collapsed="false">
      <c r="A6" s="1" t="n">
        <f aca="false">GNMA!A30</f>
        <v>4</v>
      </c>
      <c r="B6" s="8" t="n">
        <f aca="false">GNMA!G30</f>
        <v>5443405.13330077</v>
      </c>
      <c r="C6" s="8" t="n">
        <f aca="false">GNMA!H30</f>
        <v>755399.356916888</v>
      </c>
      <c r="D6" s="8" t="n">
        <f aca="false">GNMA!I30</f>
        <v>9147881.8245263</v>
      </c>
      <c r="E6" s="8" t="n">
        <f aca="false">GNMA!J30</f>
        <v>457394.091226315</v>
      </c>
    </row>
    <row r="7" customFormat="false" ht="12.75" hidden="false" customHeight="false" outlineLevel="0" collapsed="false">
      <c r="A7" s="1" t="n">
        <f aca="false">GNMA!A31</f>
        <v>5</v>
      </c>
      <c r="B7" s="8" t="n">
        <f aca="false">GNMA!G31</f>
        <v>5069935.8491996</v>
      </c>
      <c r="C7" s="8" t="n">
        <f aca="false">GNMA!H31</f>
        <v>781082.935052063</v>
      </c>
      <c r="D7" s="8" t="n">
        <f aca="false">GNMA!I31</f>
        <v>8528001.37550454</v>
      </c>
      <c r="E7" s="8" t="n">
        <f aca="false">GNMA!J31</f>
        <v>426400.068775227</v>
      </c>
    </row>
    <row r="8" customFormat="false" ht="12.75" hidden="false" customHeight="false" outlineLevel="0" collapsed="false">
      <c r="A8" s="1" t="n">
        <f aca="false">GNMA!A32</f>
        <v>6</v>
      </c>
      <c r="B8" s="8" t="n">
        <f aca="false">GNMA!G32</f>
        <v>4717281.31295699</v>
      </c>
      <c r="C8" s="8" t="n">
        <f aca="false">GNMA!H32</f>
        <v>807639.754843833</v>
      </c>
      <c r="D8" s="8" t="n">
        <f aca="false">GNMA!I32</f>
        <v>7942899.49707937</v>
      </c>
      <c r="E8" s="8" t="n">
        <f aca="false">GNMA!J32</f>
        <v>397144.974853969</v>
      </c>
    </row>
    <row r="9" customFormat="false" ht="12.75" hidden="false" customHeight="false" outlineLevel="0" collapsed="false">
      <c r="A9" s="1" t="n">
        <f aca="false">GNMA!A33</f>
        <v>7</v>
      </c>
      <c r="B9" s="8" t="n">
        <f aca="false">GNMA!G33</f>
        <v>4384138.46378906</v>
      </c>
      <c r="C9" s="8" t="n">
        <f aca="false">GNMA!H33</f>
        <v>835099.506508522</v>
      </c>
      <c r="D9" s="8" t="n">
        <f aca="false">GNMA!I33</f>
        <v>7390407.39029929</v>
      </c>
      <c r="E9" s="8" t="n">
        <f aca="false">GNMA!J33</f>
        <v>369520.369514965</v>
      </c>
    </row>
    <row r="10" customFormat="false" ht="12.75" hidden="false" customHeight="false" outlineLevel="0" collapsed="false">
      <c r="A10" s="1" t="n">
        <f aca="false">GNMA!A34</f>
        <v>8</v>
      </c>
      <c r="B10" s="8" t="n">
        <f aca="false">GNMA!G34</f>
        <v>4069280.58257793</v>
      </c>
      <c r="C10" s="8" t="n">
        <f aca="false">GNMA!H34</f>
        <v>863492.889729812</v>
      </c>
      <c r="D10" s="8" t="n">
        <f aca="false">GNMA!I34</f>
        <v>6868483.59326953</v>
      </c>
      <c r="E10" s="8" t="n">
        <f aca="false">GNMA!J34</f>
        <v>343424.179663477</v>
      </c>
    </row>
    <row r="11" customFormat="false" ht="12.75" hidden="false" customHeight="false" outlineLevel="0" collapsed="false">
      <c r="A11" s="1" t="n">
        <f aca="false">GNMA!A35</f>
        <v>9</v>
      </c>
      <c r="B11" s="8" t="n">
        <f aca="false">GNMA!G35</f>
        <v>3771552.64874442</v>
      </c>
      <c r="C11" s="8" t="n">
        <f aca="false">GNMA!H35</f>
        <v>892851.647980627</v>
      </c>
      <c r="D11" s="8" t="n">
        <f aca="false">GNMA!I35</f>
        <v>6375206.24603876</v>
      </c>
      <c r="E11" s="8" t="n">
        <f aca="false">GNMA!J35</f>
        <v>318760.312301938</v>
      </c>
    </row>
    <row r="12" customFormat="false" ht="12.75" hidden="false" customHeight="false" outlineLevel="0" collapsed="false">
      <c r="A12" s="1" t="n">
        <f aca="false">GNMA!A36</f>
        <v>10</v>
      </c>
      <c r="B12" s="8" t="n">
        <f aca="false">GNMA!G36</f>
        <v>3489866.97357903</v>
      </c>
      <c r="C12" s="8" t="n">
        <f aca="false">GNMA!H36</f>
        <v>923208.604011968</v>
      </c>
      <c r="D12" s="8" t="n">
        <f aca="false">GNMA!I36</f>
        <v>5908765.81636625</v>
      </c>
      <c r="E12" s="8" t="n">
        <f aca="false">GNMA!J36</f>
        <v>295438.290818313</v>
      </c>
    </row>
    <row r="13" customFormat="false" ht="12.75" hidden="false" customHeight="false" outlineLevel="0" collapsed="false">
      <c r="A13" s="1" t="n">
        <f aca="false">GNMA!A37</f>
        <v>11</v>
      </c>
      <c r="B13" s="8" t="n">
        <f aca="false">GNMA!G37</f>
        <v>3223199.09337139</v>
      </c>
      <c r="C13" s="8" t="n">
        <f aca="false">GNMA!H37</f>
        <v>954597.696548373</v>
      </c>
      <c r="D13" s="8" t="n">
        <f aca="false">GNMA!I37</f>
        <v>5467458.25860715</v>
      </c>
      <c r="E13" s="8" t="n">
        <f aca="false">GNMA!J37</f>
        <v>273372.912930358</v>
      </c>
    </row>
    <row r="14" customFormat="false" ht="12.75" hidden="false" customHeight="false" outlineLevel="0" collapsed="false">
      <c r="A14" s="1" t="n">
        <f aca="false">GNMA!A38</f>
        <v>12</v>
      </c>
      <c r="B14" s="8" t="n">
        <f aca="false">GNMA!G38</f>
        <v>2970583.90667524</v>
      </c>
      <c r="C14" s="8" t="n">
        <f aca="false">GNMA!H38</f>
        <v>987054.018231018</v>
      </c>
      <c r="D14" s="8" t="n">
        <f aca="false">GNMA!I38</f>
        <v>5049678.57961518</v>
      </c>
      <c r="E14" s="8" t="n">
        <f aca="false">GNMA!J38</f>
        <v>252483.928980759</v>
      </c>
    </row>
    <row r="15" customFormat="false" ht="12.75" hidden="false" customHeight="false" outlineLevel="0" collapsed="false">
      <c r="A15" s="1" t="n">
        <f aca="false">GNMA!A39</f>
        <v>13</v>
      </c>
      <c r="B15" s="8" t="n">
        <f aca="false">GNMA!G39</f>
        <v>2731112.04098368</v>
      </c>
      <c r="C15" s="8" t="n">
        <f aca="false">GNMA!H39</f>
        <v>1020613.85485087</v>
      </c>
      <c r="D15" s="8" t="n">
        <f aca="false">GNMA!I39</f>
        <v>4653914.78712455</v>
      </c>
      <c r="E15" s="8" t="n">
        <f aca="false">GNMA!J39</f>
        <v>232695.739356227</v>
      </c>
    </row>
    <row r="16" customFormat="false" ht="12.75" hidden="false" customHeight="false" outlineLevel="0" collapsed="false">
      <c r="A16" s="1" t="n">
        <f aca="false">GNMA!A40</f>
        <v>14</v>
      </c>
      <c r="B16" s="8" t="n">
        <f aca="false">GNMA!G40</f>
        <v>2503926.43496971</v>
      </c>
      <c r="C16" s="8" t="n">
        <f aca="false">GNMA!H40</f>
        <v>1055314.7259158</v>
      </c>
      <c r="D16" s="8" t="n">
        <f aca="false">GNMA!I40</f>
        <v>4278742.19754109</v>
      </c>
      <c r="E16" s="8" t="n">
        <f aca="false">GNMA!J40</f>
        <v>213937.109877055</v>
      </c>
    </row>
    <row r="17" customFormat="false" ht="12.75" hidden="false" customHeight="false" outlineLevel="0" collapsed="false">
      <c r="A17" s="1" t="n">
        <f aca="false">GNMA!A41</f>
        <v>15</v>
      </c>
      <c r="B17" s="8" t="n">
        <f aca="false">GNMA!G41</f>
        <v>2288219.12327571</v>
      </c>
      <c r="C17" s="8" t="n">
        <f aca="false">GNMA!H41</f>
        <v>1091195.42659694</v>
      </c>
      <c r="D17" s="8" t="n">
        <f aca="false">GNMA!I41</f>
        <v>3922818.08145254</v>
      </c>
      <c r="E17" s="8" t="n">
        <f aca="false">GNMA!J41</f>
        <v>196140.904072627</v>
      </c>
    </row>
    <row r="18" customFormat="false" ht="12.75" hidden="false" customHeight="false" outlineLevel="0" collapsed="false">
      <c r="A18" s="1" t="n">
        <f aca="false">GNMA!A42</f>
        <v>16</v>
      </c>
      <c r="B18" s="8" t="n">
        <f aca="false">GNMA!G42</f>
        <v>2083228.21161309</v>
      </c>
      <c r="C18" s="8" t="n">
        <f aca="false">GNMA!H42</f>
        <v>1128296.07110124</v>
      </c>
      <c r="D18" s="8" t="n">
        <f aca="false">GNMA!I42</f>
        <v>3584876.62646528</v>
      </c>
      <c r="E18" s="8" t="n">
        <f aca="false">GNMA!J42</f>
        <v>179243.831323264</v>
      </c>
    </row>
    <row r="19" customFormat="false" ht="12.75" hidden="false" customHeight="false" outlineLevel="0" collapsed="false">
      <c r="A19" s="1" t="n">
        <f aca="false">GNMA!A43</f>
        <v>17</v>
      </c>
      <c r="B19" s="8" t="n">
        <f aca="false">GNMA!G43</f>
        <v>1888235.03066519</v>
      </c>
      <c r="C19" s="8" t="n">
        <f aca="false">GNMA!H43</f>
        <v>1166658.13751868</v>
      </c>
      <c r="D19" s="8" t="n">
        <f aca="false">GNMA!I43</f>
        <v>3263724.19819385</v>
      </c>
      <c r="E19" s="8" t="n">
        <f aca="false">GNMA!J43</f>
        <v>163186.209909692</v>
      </c>
    </row>
    <row r="20" customFormat="false" ht="12.75" hidden="false" customHeight="false" outlineLevel="0" collapsed="false">
      <c r="A20" s="1" t="n">
        <f aca="false">GNMA!A44</f>
        <v>18</v>
      </c>
      <c r="B20" s="8" t="n">
        <f aca="false">GNMA!G44</f>
        <v>1702561.45797362</v>
      </c>
      <c r="C20" s="8" t="n">
        <f aca="false">GNMA!H44</f>
        <v>1206324.51419431</v>
      </c>
      <c r="D20" s="8" t="n">
        <f aca="false">GNMA!I44</f>
        <v>2958234.88137546</v>
      </c>
      <c r="E20" s="8" t="n">
        <f aca="false">GNMA!J44</f>
        <v>147911.744068773</v>
      </c>
    </row>
    <row r="21" customFormat="false" ht="12.75" hidden="false" customHeight="false" outlineLevel="0" collapsed="false">
      <c r="A21" s="1" t="n">
        <f aca="false">GNMA!A45</f>
        <v>19</v>
      </c>
      <c r="B21" s="8" t="n">
        <f aca="false">GNMA!G45</f>
        <v>1525567.39763458</v>
      </c>
      <c r="C21" s="8" t="n">
        <f aca="false">GNMA!H45</f>
        <v>1247339.54767692</v>
      </c>
      <c r="D21" s="8" t="n">
        <f aca="false">GNMA!I45</f>
        <v>2667346.28415867</v>
      </c>
      <c r="E21" s="8" t="n">
        <f aca="false">GNMA!J45</f>
        <v>133367.314207933</v>
      </c>
    </row>
    <row r="22" customFormat="false" ht="12.75" hidden="false" customHeight="false" outlineLevel="0" collapsed="false">
      <c r="A22" s="1" t="n">
        <f aca="false">GNMA!A46</f>
        <v>20</v>
      </c>
      <c r="B22" s="8" t="n">
        <f aca="false">GNMA!G46</f>
        <v>1356648.40823863</v>
      </c>
      <c r="C22" s="8" t="n">
        <f aca="false">GNMA!H46</f>
        <v>1289749.09229794</v>
      </c>
      <c r="D22" s="8" t="n">
        <f aca="false">GNMA!I46</f>
        <v>2390055.58962752</v>
      </c>
      <c r="E22" s="8" t="n">
        <f aca="false">GNMA!J46</f>
        <v>119502.779481376</v>
      </c>
    </row>
    <row r="23" customFormat="false" ht="12.75" hidden="false" customHeight="false" outlineLevel="0" collapsed="false">
      <c r="A23" s="1" t="n">
        <f aca="false">GNMA!A47</f>
        <v>21</v>
      </c>
      <c r="B23" s="8" t="n">
        <f aca="false">GNMA!G47</f>
        <v>1195233.47005815</v>
      </c>
      <c r="C23" s="8" t="n">
        <f aca="false">GNMA!H47</f>
        <v>1333600.56143607</v>
      </c>
      <c r="D23" s="8" t="n">
        <f aca="false">GNMA!I47</f>
        <v>2125415.83957386</v>
      </c>
      <c r="E23" s="8" t="n">
        <f aca="false">GNMA!J47</f>
        <v>106270.791978693</v>
      </c>
    </row>
    <row r="24" customFormat="false" ht="12.75" hidden="false" customHeight="false" outlineLevel="0" collapsed="false">
      <c r="A24" s="1" t="n">
        <f aca="false">GNMA!A48</f>
        <v>22</v>
      </c>
      <c r="B24" s="8" t="n">
        <f aca="false">GNMA!G48</f>
        <v>1040782.88302317</v>
      </c>
      <c r="C24" s="8" t="n">
        <f aca="false">GNMA!H48</f>
        <v>1378942.98052489</v>
      </c>
      <c r="D24" s="8" t="n">
        <f aca="false">GNMA!I48</f>
        <v>1872532.43642444</v>
      </c>
      <c r="E24" s="8" t="n">
        <f aca="false">GNMA!J48</f>
        <v>93626.6218212218</v>
      </c>
    </row>
    <row r="25" customFormat="false" ht="12.75" hidden="false" customHeight="false" outlineLevel="0" collapsed="false">
      <c r="A25" s="1" t="n">
        <f aca="false">GNMA!A49</f>
        <v>23</v>
      </c>
      <c r="B25" s="8" t="n">
        <f aca="false">GNMA!G49</f>
        <v>892786.287530014</v>
      </c>
      <c r="C25" s="8" t="n">
        <f aca="false">GNMA!H49</f>
        <v>1425827.04186274</v>
      </c>
      <c r="D25" s="8" t="n">
        <f aca="false">GNMA!I49</f>
        <v>1630559.85006963</v>
      </c>
      <c r="E25" s="8" t="n">
        <f aca="false">GNMA!J49</f>
        <v>81527.9925034815</v>
      </c>
    </row>
    <row r="26" customFormat="false" ht="12.75" hidden="false" customHeight="false" outlineLevel="0" collapsed="false">
      <c r="A26" s="1" t="n">
        <f aca="false">GNMA!A50</f>
        <v>24</v>
      </c>
      <c r="B26" s="8" t="n">
        <f aca="false">GNMA!G50</f>
        <v>750760.800601049</v>
      </c>
      <c r="C26" s="8" t="n">
        <f aca="false">GNMA!H50</f>
        <v>1474305.16128607</v>
      </c>
      <c r="D26" s="8" t="n">
        <f aca="false">GNMA!I50</f>
        <v>1398698.51713036</v>
      </c>
      <c r="E26" s="8" t="n">
        <f aca="false">GNMA!J50</f>
        <v>69934.9258565177</v>
      </c>
    </row>
    <row r="27" customFormat="false" ht="12.75" hidden="false" customHeight="false" outlineLevel="0" collapsed="false">
      <c r="A27" s="1" t="n">
        <f aca="false">GNMA!A51</f>
        <v>25</v>
      </c>
      <c r="B27" s="8" t="n">
        <f aca="false">GNMA!G51</f>
        <v>614249.260358798</v>
      </c>
      <c r="C27" s="8" t="n">
        <f aca="false">GNMA!H51</f>
        <v>1524431.5367698</v>
      </c>
      <c r="D27" s="8" t="n">
        <f aca="false">GNMA!I51</f>
        <v>1176191.92094164</v>
      </c>
      <c r="E27" s="8" t="n">
        <f aca="false">GNMA!J51</f>
        <v>58809.5960470821</v>
      </c>
    </row>
    <row r="28" customFormat="false" ht="12.75" hidden="false" customHeight="false" outlineLevel="0" collapsed="false">
      <c r="A28" s="1" t="n">
        <f aca="false">GNMA!A52</f>
        <v>26</v>
      </c>
      <c r="B28" s="8" t="n">
        <f aca="false">GNMA!G52</f>
        <v>482818.572196072</v>
      </c>
      <c r="C28" s="8" t="n">
        <f aca="false">GNMA!H52</f>
        <v>1576262.20901997</v>
      </c>
      <c r="D28" s="8" t="n">
        <f aca="false">GNMA!I52</f>
        <v>962323.841228783</v>
      </c>
      <c r="E28" s="8" t="n">
        <f aca="false">GNMA!J52</f>
        <v>48116.1920614392</v>
      </c>
    </row>
    <row r="29" customFormat="false" ht="12.75" hidden="false" customHeight="false" outlineLevel="0" collapsed="false">
      <c r="A29" s="1" t="n">
        <f aca="false">GNMA!A53</f>
        <v>27</v>
      </c>
      <c r="B29" s="8" t="n">
        <f aca="false">GNMA!G53</f>
        <v>356058.150416708</v>
      </c>
      <c r="C29" s="8" t="n">
        <f aca="false">GNMA!H53</f>
        <v>1629855.12412665</v>
      </c>
      <c r="D29" s="8" t="n">
        <f aca="false">GNMA!I53</f>
        <v>756415.763107179</v>
      </c>
      <c r="E29" s="8" t="n">
        <f aca="false">GNMA!J53</f>
        <v>37820.788155359</v>
      </c>
    </row>
    <row r="30" customFormat="false" ht="12.75" hidden="false" customHeight="false" outlineLevel="0" collapsed="false">
      <c r="A30" s="1" t="n">
        <f aca="false">GNMA!A54</f>
        <v>28</v>
      </c>
      <c r="B30" s="8" t="n">
        <f aca="false">GNMA!G54</f>
        <v>233578.449490888</v>
      </c>
      <c r="C30" s="8" t="n">
        <f aca="false">GNMA!H54</f>
        <v>1685270.19834696</v>
      </c>
      <c r="D30" s="8" t="n">
        <f aca="false">GNMA!I54</f>
        <v>557824.435652843</v>
      </c>
      <c r="E30" s="8" t="n">
        <f aca="false">GNMA!J54</f>
        <v>27891.2217826422</v>
      </c>
    </row>
    <row r="31" customFormat="false" ht="12.75" hidden="false" customHeight="false" outlineLevel="0" collapsed="false">
      <c r="A31" s="1" t="n">
        <f aca="false">GNMA!A55</f>
        <v>29</v>
      </c>
      <c r="B31" s="8" t="n">
        <f aca="false">GNMA!G55</f>
        <v>115009.57941599</v>
      </c>
      <c r="C31" s="8" t="n">
        <f aca="false">GNMA!H55</f>
        <v>1742569.38509075</v>
      </c>
      <c r="D31" s="8" t="n">
        <f aca="false">GNMA!I55</f>
        <v>365939.570869059</v>
      </c>
      <c r="E31" s="8" t="n">
        <f aca="false">GNMA!J55</f>
        <v>18296.9785434529</v>
      </c>
    </row>
    <row r="32" customFormat="false" ht="12.75" hidden="false" customHeight="false" outlineLevel="0" collapsed="false">
      <c r="A32" s="1" t="n">
        <f aca="false">GNMA!A56</f>
        <v>30</v>
      </c>
      <c r="B32" s="8" t="n">
        <f aca="false">GNMA!G56</f>
        <v>0</v>
      </c>
      <c r="C32" s="8" t="n">
        <f aca="false">GNMA!H56</f>
        <v>1801816.74418384</v>
      </c>
      <c r="D32" s="8" t="n">
        <f aca="false">GNMA!I56</f>
        <v>180181.674418384</v>
      </c>
      <c r="E32" s="8" t="n">
        <f aca="false">GNMA!J56</f>
        <v>9009.08372091921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6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A69" activeCellId="0" sqref="A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1" width="13.28"/>
    <col collapsed="false" customWidth="true" hidden="false" outlineLevel="0" max="3" min="3" style="1" width="17.7"/>
    <col collapsed="false" customWidth="true" hidden="false" outlineLevel="0" max="5" min="5" style="1" width="16.42"/>
    <col collapsed="false" customWidth="true" hidden="false" outlineLevel="0" max="6" min="6" style="1" width="18.99"/>
    <col collapsed="false" customWidth="true" hidden="false" outlineLevel="0" max="7" min="7" style="1" width="14.14"/>
    <col collapsed="false" customWidth="true" hidden="false" outlineLevel="0" max="8" min="8" style="1" width="18.14"/>
    <col collapsed="false" customWidth="true" hidden="false" outlineLevel="0" max="10" min="9" style="1" width="17.85"/>
    <col collapsed="false" customWidth="true" hidden="false" outlineLevel="0" max="11" min="11" style="1" width="16.28"/>
  </cols>
  <sheetData>
    <row r="1" customFormat="false" ht="12.75" hidden="false" customHeight="false" outlineLevel="0" collapsed="false">
      <c r="A1" s="9" t="s">
        <v>13</v>
      </c>
    </row>
    <row r="3" customFormat="false" ht="12.75" hidden="false" customHeight="false" outlineLevel="0" collapsed="false">
      <c r="A3" s="9" t="s">
        <v>14</v>
      </c>
      <c r="C3" s="3" t="n">
        <v>0.1</v>
      </c>
    </row>
    <row r="4" customFormat="false" ht="12.75" hidden="false" customHeight="false" outlineLevel="0" collapsed="false">
      <c r="A4" s="9" t="s">
        <v>15</v>
      </c>
      <c r="C4" s="10" t="n">
        <v>1</v>
      </c>
    </row>
    <row r="5" customFormat="false" ht="12.75" hidden="false" customHeight="false" outlineLevel="0" collapsed="false">
      <c r="A5" s="9" t="s">
        <v>16</v>
      </c>
      <c r="C5" s="11" t="n">
        <v>100000000</v>
      </c>
    </row>
    <row r="6" customFormat="false" ht="12.75" hidden="false" customHeight="false" outlineLevel="0" collapsed="false">
      <c r="A6" s="9" t="s">
        <v>17</v>
      </c>
      <c r="C6" s="11" t="n">
        <v>4000000</v>
      </c>
    </row>
    <row r="7" customFormat="false" ht="12.75" hidden="false" customHeight="false" outlineLevel="0" collapsed="false">
      <c r="A7" s="1" t="s">
        <v>18</v>
      </c>
      <c r="C7" s="3" t="n">
        <v>0.005</v>
      </c>
    </row>
    <row r="8" customFormat="false" ht="12.75" hidden="false" customHeight="false" outlineLevel="0" collapsed="false">
      <c r="C8" s="11"/>
    </row>
    <row r="9" customFormat="false" ht="12.75" hidden="false" customHeight="false" outlineLevel="0" collapsed="false">
      <c r="A9" s="9" t="s">
        <v>19</v>
      </c>
      <c r="C9" s="11" t="n">
        <v>30000000</v>
      </c>
    </row>
    <row r="10" customFormat="false" ht="12.75" hidden="false" customHeight="false" outlineLevel="0" collapsed="false">
      <c r="A10" s="9" t="s">
        <v>20</v>
      </c>
      <c r="C10" s="3" t="n">
        <v>0.09</v>
      </c>
    </row>
    <row r="11" customFormat="false" ht="12.75" hidden="false" customHeight="false" outlineLevel="0" collapsed="false">
      <c r="E11" s="9" t="s">
        <v>21</v>
      </c>
    </row>
    <row r="12" customFormat="false" ht="12.75" hidden="false" customHeight="false" outlineLevel="0" collapsed="false">
      <c r="A12" s="9" t="s">
        <v>22</v>
      </c>
      <c r="C12" s="11" t="n">
        <v>30000000</v>
      </c>
    </row>
    <row r="13" customFormat="false" ht="12.75" hidden="false" customHeight="false" outlineLevel="0" collapsed="false">
      <c r="A13" s="9" t="s">
        <v>23</v>
      </c>
      <c r="C13" s="3" t="n">
        <v>0.0925</v>
      </c>
    </row>
    <row r="15" customFormat="false" ht="12.75" hidden="false" customHeight="false" outlineLevel="0" collapsed="false">
      <c r="A15" s="9" t="s">
        <v>24</v>
      </c>
      <c r="C15" s="11" t="n">
        <v>25000000</v>
      </c>
    </row>
    <row r="16" customFormat="false" ht="12.75" hidden="false" customHeight="false" outlineLevel="0" collapsed="false">
      <c r="A16" s="9" t="s">
        <v>25</v>
      </c>
      <c r="C16" s="3" t="n">
        <v>0.0975</v>
      </c>
    </row>
    <row r="18" customFormat="false" ht="12.75" hidden="false" customHeight="false" outlineLevel="0" collapsed="false">
      <c r="A18" s="9" t="s">
        <v>26</v>
      </c>
      <c r="C18" s="11" t="n">
        <v>15000000</v>
      </c>
    </row>
    <row r="19" customFormat="false" ht="12.75" hidden="false" customHeight="false" outlineLevel="0" collapsed="false">
      <c r="A19" s="9" t="s">
        <v>27</v>
      </c>
      <c r="C19" s="3" t="n">
        <v>0.105</v>
      </c>
    </row>
    <row r="22" customFormat="false" ht="12.75" hidden="false" customHeight="false" outlineLevel="0" collapsed="false">
      <c r="B22" s="9" t="s">
        <v>28</v>
      </c>
    </row>
    <row r="23" customFormat="false" ht="12.75" hidden="false" customHeight="false" outlineLevel="0" collapsed="false">
      <c r="H23" s="12"/>
      <c r="K23" s="9" t="s">
        <v>29</v>
      </c>
    </row>
    <row r="24" customFormat="false" ht="12.75" hidden="false" customHeight="false" outlineLevel="0" collapsed="false">
      <c r="A24" s="12" t="s">
        <v>30</v>
      </c>
      <c r="B24" s="12" t="s">
        <v>31</v>
      </c>
      <c r="C24" s="12" t="s">
        <v>32</v>
      </c>
      <c r="D24" s="12" t="s">
        <v>33</v>
      </c>
      <c r="E24" s="12"/>
      <c r="F24" s="12"/>
      <c r="G24" s="12"/>
      <c r="H24" s="12"/>
      <c r="I24" s="12"/>
      <c r="J24" s="12"/>
      <c r="K24" s="9" t="s">
        <v>34</v>
      </c>
    </row>
    <row r="25" customFormat="false" ht="12.75" hidden="false" customHeight="false" outlineLevel="0" collapsed="false">
      <c r="A25" s="5" t="s">
        <v>35</v>
      </c>
      <c r="E25" s="5" t="s">
        <v>36</v>
      </c>
      <c r="F25" s="5" t="s">
        <v>37</v>
      </c>
      <c r="G25" s="5" t="s">
        <v>38</v>
      </c>
      <c r="H25" s="5" t="s">
        <v>39</v>
      </c>
      <c r="I25" s="5" t="s">
        <v>40</v>
      </c>
      <c r="J25" s="5" t="s">
        <v>18</v>
      </c>
    </row>
    <row r="26" customFormat="false" ht="12.75" hidden="false" customHeight="false" outlineLevel="0" collapsed="false">
      <c r="A26" s="13" t="n">
        <v>0</v>
      </c>
      <c r="B26" s="14" t="n">
        <f aca="false">1/(1+$C$3)*B27</f>
        <v>0.057308553301168</v>
      </c>
      <c r="C26" s="14" t="n">
        <f aca="false">1/$C$3*(1-B26)</f>
        <v>9.42691446698832</v>
      </c>
      <c r="D26" s="15" t="n">
        <f aca="false">0*$C$4</f>
        <v>0</v>
      </c>
      <c r="E26" s="16" t="n">
        <f aca="false">C5+C6</f>
        <v>104000000</v>
      </c>
      <c r="F26" s="16"/>
      <c r="G26" s="16"/>
      <c r="H26" s="16"/>
      <c r="I26" s="16"/>
      <c r="J26" s="16"/>
      <c r="K26" s="16" t="n">
        <f aca="false">MAXA(0,+E26-$C$6)</f>
        <v>100000000</v>
      </c>
    </row>
    <row r="27" customFormat="false" ht="12.75" hidden="false" customHeight="false" outlineLevel="0" collapsed="false">
      <c r="A27" s="13" t="n">
        <f aca="false">A26+1</f>
        <v>1</v>
      </c>
      <c r="B27" s="14" t="n">
        <f aca="false">1/(1+$C$3)*B28</f>
        <v>0.0630394086312848</v>
      </c>
      <c r="C27" s="14" t="n">
        <f aca="false">1/$C$3*(1-B27)</f>
        <v>9.36960591368715</v>
      </c>
      <c r="D27" s="15" t="n">
        <f aca="false">0.012*$C$4</f>
        <v>0.012</v>
      </c>
      <c r="E27" s="16" t="n">
        <f aca="false">E26-H27-G27</f>
        <v>102127345.083545</v>
      </c>
      <c r="F27" s="16" t="n">
        <f aca="false">E26/C26</f>
        <v>11032241.8182739</v>
      </c>
      <c r="G27" s="16" t="n">
        <f aca="false">(E26-H27)*D27</f>
        <v>1240413.09818071</v>
      </c>
      <c r="H27" s="16" t="n">
        <f aca="false">F27-I27</f>
        <v>632241.818273926</v>
      </c>
      <c r="I27" s="16" t="n">
        <f aca="false">E26*C$3</f>
        <v>10400000</v>
      </c>
      <c r="J27" s="16" t="n">
        <f aca="false">$C$7*E26</f>
        <v>520000</v>
      </c>
      <c r="K27" s="16" t="n">
        <f aca="false">MAXA(0,+E27-$C$6)</f>
        <v>98127345.0835454</v>
      </c>
    </row>
    <row r="28" customFormat="false" ht="12.75" hidden="false" customHeight="false" outlineLevel="0" collapsed="false">
      <c r="A28" s="13" t="n">
        <f aca="false">A27+1</f>
        <v>2</v>
      </c>
      <c r="B28" s="14" t="n">
        <f aca="false">1/(1+$C$3)*B29</f>
        <v>0.0693433494944133</v>
      </c>
      <c r="C28" s="14" t="n">
        <f aca="false">1/$C$3*(1-B28)</f>
        <v>9.30656650505587</v>
      </c>
      <c r="D28" s="15" t="n">
        <f aca="false">0.036*$C$4</f>
        <v>0.036</v>
      </c>
      <c r="E28" s="16" t="n">
        <f aca="false">E27-H28-G28</f>
        <v>97788376.5871292</v>
      </c>
      <c r="F28" s="16" t="n">
        <f aca="false">E27/C27</f>
        <v>10899854.9164546</v>
      </c>
      <c r="G28" s="16" t="n">
        <f aca="false">(E27-H28)*D28</f>
        <v>3651848.08831603</v>
      </c>
      <c r="H28" s="16" t="n">
        <f aca="false">F28-I28</f>
        <v>687120.408100102</v>
      </c>
      <c r="I28" s="16" t="n">
        <f aca="false">E27*C$3</f>
        <v>10212734.5083545</v>
      </c>
      <c r="J28" s="16" t="n">
        <f aca="false">$C$7*E27</f>
        <v>510636.725417727</v>
      </c>
      <c r="K28" s="16" t="n">
        <f aca="false">MAXA(0,+E28-$C$6)</f>
        <v>93788376.5871292</v>
      </c>
    </row>
    <row r="29" customFormat="false" ht="12.75" hidden="false" customHeight="false" outlineLevel="0" collapsed="false">
      <c r="A29" s="13" t="n">
        <f aca="false">A28+1</f>
        <v>3</v>
      </c>
      <c r="B29" s="14" t="n">
        <f aca="false">1/(1+$C$3)*B30</f>
        <v>0.0762776844438547</v>
      </c>
      <c r="C29" s="14" t="n">
        <f aca="false">1/$C$3*(1-B29)</f>
        <v>9.23722315556145</v>
      </c>
      <c r="D29" s="15" t="n">
        <f aca="false">0.0575*C4</f>
        <v>0.0575</v>
      </c>
      <c r="E29" s="16" t="n">
        <f aca="false">E28-H29-G29</f>
        <v>91478818.245263</v>
      </c>
      <c r="F29" s="16" t="n">
        <f aca="false">E28/C28</f>
        <v>10507460.1394623</v>
      </c>
      <c r="G29" s="16" t="n">
        <f aca="false">(E28-H29)*D29</f>
        <v>5580935.86111684</v>
      </c>
      <c r="H29" s="16" t="n">
        <f aca="false">F29-I29</f>
        <v>728622.48074935</v>
      </c>
      <c r="I29" s="16" t="n">
        <f aca="false">E28*C$3</f>
        <v>9778837.65871292</v>
      </c>
      <c r="J29" s="16" t="n">
        <f aca="false">$C$7*E28</f>
        <v>488941.882935646</v>
      </c>
      <c r="K29" s="16" t="n">
        <f aca="false">MAXA(0,+E29-$C$6)</f>
        <v>87478818.245263</v>
      </c>
    </row>
    <row r="30" customFormat="false" ht="12.75" hidden="false" customHeight="false" outlineLevel="0" collapsed="false">
      <c r="A30" s="13" t="n">
        <f aca="false">A29+1</f>
        <v>4</v>
      </c>
      <c r="B30" s="14" t="n">
        <f aca="false">1/(1+$C$3)*B31</f>
        <v>0.0839054528882401</v>
      </c>
      <c r="C30" s="14" t="n">
        <f aca="false">1/$C$3*(1-B30)</f>
        <v>9.1609454711176</v>
      </c>
      <c r="D30" s="15" t="n">
        <f aca="false">0.06*$C$4</f>
        <v>0.06</v>
      </c>
      <c r="E30" s="16" t="n">
        <f aca="false">E29-H30-G30</f>
        <v>85280013.7550454</v>
      </c>
      <c r="F30" s="16" t="n">
        <f aca="false">E29/C29</f>
        <v>9903281.18144319</v>
      </c>
      <c r="G30" s="16" t="n">
        <f aca="false">(E29-H30)*D30</f>
        <v>5443405.13330077</v>
      </c>
      <c r="H30" s="16" t="n">
        <f aca="false">F30-I30</f>
        <v>755399.356916888</v>
      </c>
      <c r="I30" s="16" t="n">
        <f aca="false">E29*C$3</f>
        <v>9147881.8245263</v>
      </c>
      <c r="J30" s="16" t="n">
        <f aca="false">$C$7*E29</f>
        <v>457394.091226315</v>
      </c>
      <c r="K30" s="16" t="n">
        <f aca="false">MAXA(0,+E30-$C$6)</f>
        <v>81280013.7550454</v>
      </c>
    </row>
    <row r="31" customFormat="false" ht="12.75" hidden="false" customHeight="false" outlineLevel="0" collapsed="false">
      <c r="A31" s="13" t="n">
        <f aca="false">A30+1</f>
        <v>5</v>
      </c>
      <c r="B31" s="14" t="n">
        <f aca="false">1/(1+$C$3)*B32</f>
        <v>0.0922959981770641</v>
      </c>
      <c r="C31" s="14" t="n">
        <f aca="false">1/$C$3*(1-B31)</f>
        <v>9.07704001822936</v>
      </c>
      <c r="D31" s="15" t="n">
        <f aca="false">0.06*$C$4</f>
        <v>0.06</v>
      </c>
      <c r="E31" s="16" t="n">
        <f aca="false">E30-H31-G31</f>
        <v>79428994.9707937</v>
      </c>
      <c r="F31" s="16" t="n">
        <f aca="false">E30/C30</f>
        <v>9309084.3105566</v>
      </c>
      <c r="G31" s="16" t="n">
        <f aca="false">(E30-H31)*D31</f>
        <v>5069935.8491996</v>
      </c>
      <c r="H31" s="16" t="n">
        <f aca="false">F31-I31</f>
        <v>781082.935052063</v>
      </c>
      <c r="I31" s="16" t="n">
        <f aca="false">E30*C$3</f>
        <v>8528001.37550454</v>
      </c>
      <c r="J31" s="16" t="n">
        <f aca="false">$C$7*E30</f>
        <v>426400.068775227</v>
      </c>
      <c r="K31" s="16" t="n">
        <f aca="false">MAXA(0,+E31-$C$6)</f>
        <v>75428994.9707937</v>
      </c>
    </row>
    <row r="32" customFormat="false" ht="12.75" hidden="false" customHeight="false" outlineLevel="0" collapsed="false">
      <c r="A32" s="13" t="n">
        <f aca="false">A31+1</f>
        <v>6</v>
      </c>
      <c r="B32" s="14" t="n">
        <f aca="false">1/(1+$C$3)*B33</f>
        <v>0.101525597994771</v>
      </c>
      <c r="C32" s="14" t="n">
        <f aca="false">1/$C$3*(1-B32)</f>
        <v>8.9847440200523</v>
      </c>
      <c r="D32" s="15" t="n">
        <f aca="false">0.06*$C$4</f>
        <v>0.06</v>
      </c>
      <c r="E32" s="16" t="n">
        <f aca="false">E31-H32-G32</f>
        <v>73904073.9029929</v>
      </c>
      <c r="F32" s="16" t="n">
        <f aca="false">E31/C31</f>
        <v>8750539.25192321</v>
      </c>
      <c r="G32" s="16" t="n">
        <f aca="false">(E31-H32)*D32</f>
        <v>4717281.31295699</v>
      </c>
      <c r="H32" s="16" t="n">
        <f aca="false">F32-I32</f>
        <v>807639.754843833</v>
      </c>
      <c r="I32" s="16" t="n">
        <f aca="false">E31*C$3</f>
        <v>7942899.49707937</v>
      </c>
      <c r="J32" s="16" t="n">
        <f aca="false">$C$7*E31</f>
        <v>397144.974853969</v>
      </c>
      <c r="K32" s="16" t="n">
        <f aca="false">MAXA(0,+E32-$C$6)</f>
        <v>69904073.9029929</v>
      </c>
    </row>
    <row r="33" customFormat="false" ht="12.75" hidden="false" customHeight="false" outlineLevel="0" collapsed="false">
      <c r="A33" s="13" t="n">
        <f aca="false">A32+1</f>
        <v>7</v>
      </c>
      <c r="B33" s="14" t="n">
        <f aca="false">1/(1+$C$3)*B34</f>
        <v>0.111678157794248</v>
      </c>
      <c r="C33" s="14" t="n">
        <f aca="false">1/$C$3*(1-B33)</f>
        <v>8.88321842205752</v>
      </c>
      <c r="D33" s="15" t="n">
        <f aca="false">0.06*$C$4</f>
        <v>0.06</v>
      </c>
      <c r="E33" s="16" t="n">
        <f aca="false">E32-H33-G33</f>
        <v>68684835.9326953</v>
      </c>
      <c r="F33" s="16" t="n">
        <f aca="false">E32/C32</f>
        <v>8225506.89680781</v>
      </c>
      <c r="G33" s="16" t="n">
        <f aca="false">(E32-H33)*D33</f>
        <v>4384138.46378906</v>
      </c>
      <c r="H33" s="16" t="n">
        <f aca="false">F33-I33</f>
        <v>835099.506508522</v>
      </c>
      <c r="I33" s="16" t="n">
        <f aca="false">E32*C$3</f>
        <v>7390407.39029929</v>
      </c>
      <c r="J33" s="16" t="n">
        <f aca="false">$C$7*E32</f>
        <v>369520.369514965</v>
      </c>
      <c r="K33" s="16" t="n">
        <f aca="false">MAXA(0,+E33-$C$6)</f>
        <v>64684835.9326953</v>
      </c>
    </row>
    <row r="34" customFormat="false" ht="12.75" hidden="false" customHeight="false" outlineLevel="0" collapsed="false">
      <c r="A34" s="13" t="n">
        <f aca="false">A33+1</f>
        <v>8</v>
      </c>
      <c r="B34" s="14" t="n">
        <f aca="false">1/(1+$C$3)*B35</f>
        <v>0.122845973573672</v>
      </c>
      <c r="C34" s="14" t="n">
        <f aca="false">1/$C$3*(1-B34)</f>
        <v>8.77154026426328</v>
      </c>
      <c r="D34" s="15" t="n">
        <f aca="false">0.06*$C$4</f>
        <v>0.06</v>
      </c>
      <c r="E34" s="16" t="n">
        <f aca="false">E33-H34-G34</f>
        <v>63752062.4603876</v>
      </c>
      <c r="F34" s="16" t="n">
        <f aca="false">E33/C33</f>
        <v>7731976.48299934</v>
      </c>
      <c r="G34" s="16" t="n">
        <f aca="false">(E33-H34)*D34</f>
        <v>4069280.58257793</v>
      </c>
      <c r="H34" s="16" t="n">
        <f aca="false">F34-I34</f>
        <v>863492.889729812</v>
      </c>
      <c r="I34" s="16" t="n">
        <f aca="false">E33*C$3</f>
        <v>6868483.59326953</v>
      </c>
      <c r="J34" s="16" t="n">
        <f aca="false">$C$7*E33</f>
        <v>343424.179663477</v>
      </c>
      <c r="K34" s="16" t="n">
        <f aca="false">MAXA(0,+E34-$C$6)</f>
        <v>59752062.4603876</v>
      </c>
    </row>
    <row r="35" customFormat="false" ht="12.75" hidden="false" customHeight="false" outlineLevel="0" collapsed="false">
      <c r="A35" s="13" t="n">
        <f aca="false">A34+1</f>
        <v>9</v>
      </c>
      <c r="B35" s="14" t="n">
        <f aca="false">1/(1+$C$3)*B36</f>
        <v>0.13513057093104</v>
      </c>
      <c r="C35" s="14" t="n">
        <f aca="false">1/$C$3*(1-B35)</f>
        <v>8.6486942906896</v>
      </c>
      <c r="D35" s="15" t="n">
        <f aca="false">0.06*$C$4</f>
        <v>0.06</v>
      </c>
      <c r="E35" s="16" t="n">
        <f aca="false">E34-H35-G35</f>
        <v>59087658.1636625</v>
      </c>
      <c r="F35" s="16" t="n">
        <f aca="false">E34/C34</f>
        <v>7268057.89401938</v>
      </c>
      <c r="G35" s="16" t="n">
        <f aca="false">(E34-H35)*D35</f>
        <v>3771552.64874442</v>
      </c>
      <c r="H35" s="16" t="n">
        <f aca="false">F35-I35</f>
        <v>892851.647980627</v>
      </c>
      <c r="I35" s="16" t="n">
        <f aca="false">E34*C$3</f>
        <v>6375206.24603876</v>
      </c>
      <c r="J35" s="16" t="n">
        <f aca="false">$C$7*E34</f>
        <v>318760.312301938</v>
      </c>
      <c r="K35" s="16" t="n">
        <f aca="false">MAXA(0,+E35-$C$6)</f>
        <v>55087658.1636625</v>
      </c>
    </row>
    <row r="36" customFormat="false" ht="12.75" hidden="false" customHeight="false" outlineLevel="0" collapsed="false">
      <c r="A36" s="13" t="n">
        <f aca="false">A35+1</f>
        <v>10</v>
      </c>
      <c r="B36" s="14" t="n">
        <f aca="false">1/(1+$C$3)*B37</f>
        <v>0.148643628024144</v>
      </c>
      <c r="C36" s="14" t="n">
        <f aca="false">1/$C$3*(1-B36)</f>
        <v>8.51356371975857</v>
      </c>
      <c r="D36" s="15" t="n">
        <f aca="false">0.06*$C$4</f>
        <v>0.06</v>
      </c>
      <c r="E36" s="16" t="n">
        <f aca="false">E35-H36-G36</f>
        <v>54674582.5860715</v>
      </c>
      <c r="F36" s="16" t="n">
        <f aca="false">E35/C35</f>
        <v>6831974.42037822</v>
      </c>
      <c r="G36" s="16" t="n">
        <f aca="false">(E35-H36)*D36</f>
        <v>3489866.97357903</v>
      </c>
      <c r="H36" s="16" t="n">
        <f aca="false">F36-I36</f>
        <v>923208.604011968</v>
      </c>
      <c r="I36" s="16" t="n">
        <f aca="false">E35*C$3</f>
        <v>5908765.81636625</v>
      </c>
      <c r="J36" s="16" t="n">
        <f aca="false">$C$7*E35</f>
        <v>295438.290818313</v>
      </c>
      <c r="K36" s="16" t="n">
        <f aca="false">MAXA(0,+E36-$C$6)</f>
        <v>50674582.5860715</v>
      </c>
    </row>
    <row r="37" customFormat="false" ht="12.75" hidden="false" customHeight="false" outlineLevel="0" collapsed="false">
      <c r="A37" s="13" t="n">
        <f aca="false">A36+1</f>
        <v>11</v>
      </c>
      <c r="B37" s="14" t="n">
        <f aca="false">1/(1+$C$3)*B38</f>
        <v>0.163507990826558</v>
      </c>
      <c r="C37" s="14" t="n">
        <f aca="false">1/$C$3*(1-B37)</f>
        <v>8.36492009173442</v>
      </c>
      <c r="D37" s="15" t="n">
        <f aca="false">0.06*$C$4</f>
        <v>0.06</v>
      </c>
      <c r="E37" s="16" t="n">
        <f aca="false">E36-H37-G37</f>
        <v>50496785.7961518</v>
      </c>
      <c r="F37" s="16" t="n">
        <f aca="false">E36/C36</f>
        <v>6422055.95515553</v>
      </c>
      <c r="G37" s="16" t="n">
        <f aca="false">(E36-H37)*D37</f>
        <v>3223199.09337139</v>
      </c>
      <c r="H37" s="16" t="n">
        <f aca="false">F37-I37</f>
        <v>954597.696548373</v>
      </c>
      <c r="I37" s="16" t="n">
        <f aca="false">E36*C$3</f>
        <v>5467458.25860715</v>
      </c>
      <c r="J37" s="16" t="n">
        <f aca="false">$C$7*E36</f>
        <v>273372.912930358</v>
      </c>
      <c r="K37" s="16" t="n">
        <f aca="false">MAXA(0,+E37-$C$6)</f>
        <v>46496785.7961518</v>
      </c>
    </row>
    <row r="38" customFormat="false" ht="12.75" hidden="false" customHeight="false" outlineLevel="0" collapsed="false">
      <c r="A38" s="13" t="n">
        <f aca="false">A37+1</f>
        <v>12</v>
      </c>
      <c r="B38" s="14" t="n">
        <f aca="false">1/(1+$C$3)*B39</f>
        <v>0.179858789909214</v>
      </c>
      <c r="C38" s="14" t="n">
        <f aca="false">1/$C$3*(1-B38)</f>
        <v>8.20141210090786</v>
      </c>
      <c r="D38" s="15" t="n">
        <f aca="false">0.06*$C$4</f>
        <v>0.06</v>
      </c>
      <c r="E38" s="16" t="n">
        <f aca="false">E37-H38-G38</f>
        <v>46539147.8712455</v>
      </c>
      <c r="F38" s="16" t="n">
        <f aca="false">E37/C37</f>
        <v>6036732.59784619</v>
      </c>
      <c r="G38" s="16" t="n">
        <f aca="false">(E37-H38)*D38</f>
        <v>2970583.90667524</v>
      </c>
      <c r="H38" s="16" t="n">
        <f aca="false">F38-I38</f>
        <v>987054.018231018</v>
      </c>
      <c r="I38" s="16" t="n">
        <f aca="false">E37*C$3</f>
        <v>5049678.57961518</v>
      </c>
      <c r="J38" s="16" t="n">
        <f aca="false">$C$7*E37</f>
        <v>252483.928980759</v>
      </c>
      <c r="K38" s="16" t="n">
        <f aca="false">MAXA(0,+E38-$C$6)</f>
        <v>42539147.8712455</v>
      </c>
    </row>
    <row r="39" customFormat="false" ht="12.75" hidden="false" customHeight="false" outlineLevel="0" collapsed="false">
      <c r="A39" s="13" t="n">
        <f aca="false">A38+1</f>
        <v>13</v>
      </c>
      <c r="B39" s="14" t="n">
        <f aca="false">1/(1+$C$3)*B40</f>
        <v>0.197844668900135</v>
      </c>
      <c r="C39" s="14" t="n">
        <f aca="false">1/$C$3*(1-B39)</f>
        <v>8.02155331099865</v>
      </c>
      <c r="D39" s="15" t="n">
        <f aca="false">0.06*$C$4</f>
        <v>0.06</v>
      </c>
      <c r="E39" s="16" t="n">
        <f aca="false">E38-H39-G39</f>
        <v>42787421.9754109</v>
      </c>
      <c r="F39" s="16" t="n">
        <f aca="false">E38/C38</f>
        <v>5674528.64197542</v>
      </c>
      <c r="G39" s="16" t="n">
        <f aca="false">(E38-H39)*D39</f>
        <v>2731112.04098368</v>
      </c>
      <c r="H39" s="16" t="n">
        <f aca="false">F39-I39</f>
        <v>1020613.85485087</v>
      </c>
      <c r="I39" s="16" t="n">
        <f aca="false">E38*C$3</f>
        <v>4653914.78712455</v>
      </c>
      <c r="J39" s="16" t="n">
        <f aca="false">$C$7*E38</f>
        <v>232695.739356227</v>
      </c>
      <c r="K39" s="16" t="n">
        <f aca="false">MAXA(0,+E39-$C$6)</f>
        <v>38787421.9754109</v>
      </c>
    </row>
    <row r="40" customFormat="false" ht="12.75" hidden="false" customHeight="false" outlineLevel="0" collapsed="false">
      <c r="A40" s="13" t="n">
        <f aca="false">A39+1</f>
        <v>14</v>
      </c>
      <c r="B40" s="14" t="n">
        <f aca="false">1/(1+$C$3)*B41</f>
        <v>0.217629135790149</v>
      </c>
      <c r="C40" s="14" t="n">
        <f aca="false">1/$C$3*(1-B40)</f>
        <v>7.82370864209851</v>
      </c>
      <c r="D40" s="15" t="n">
        <f aca="false">0.06*$C$4</f>
        <v>0.06</v>
      </c>
      <c r="E40" s="16" t="n">
        <f aca="false">E39-H40-G40</f>
        <v>39228180.8145254</v>
      </c>
      <c r="F40" s="16" t="n">
        <f aca="false">E39/C39</f>
        <v>5334056.9234569</v>
      </c>
      <c r="G40" s="16" t="n">
        <f aca="false">(E39-H40)*D40</f>
        <v>2503926.43496971</v>
      </c>
      <c r="H40" s="16" t="n">
        <f aca="false">F40-I40</f>
        <v>1055314.7259158</v>
      </c>
      <c r="I40" s="16" t="n">
        <f aca="false">E39*C$3</f>
        <v>4278742.19754109</v>
      </c>
      <c r="J40" s="16" t="n">
        <f aca="false">$C$7*E39</f>
        <v>213937.109877055</v>
      </c>
      <c r="K40" s="16" t="n">
        <f aca="false">MAXA(0,+E40-$C$6)</f>
        <v>35228180.8145254</v>
      </c>
    </row>
    <row r="41" customFormat="false" ht="12.75" hidden="false" customHeight="false" outlineLevel="0" collapsed="false">
      <c r="A41" s="13" t="n">
        <f aca="false">A40+1</f>
        <v>15</v>
      </c>
      <c r="B41" s="14" t="n">
        <f aca="false">1/(1+$C$3)*B42</f>
        <v>0.239392049369163</v>
      </c>
      <c r="C41" s="14" t="n">
        <f aca="false">1/$C$3*(1-B41)</f>
        <v>7.60607950630837</v>
      </c>
      <c r="D41" s="15" t="n">
        <f aca="false">0.06*$C$4</f>
        <v>0.06</v>
      </c>
      <c r="E41" s="16" t="n">
        <f aca="false">E40-H41-G41</f>
        <v>35848766.2646528</v>
      </c>
      <c r="F41" s="16" t="n">
        <f aca="false">E40/C40</f>
        <v>5014013.50804948</v>
      </c>
      <c r="G41" s="16" t="n">
        <f aca="false">(E40-H41)*D41</f>
        <v>2288219.12327571</v>
      </c>
      <c r="H41" s="16" t="n">
        <f aca="false">F41-I41</f>
        <v>1091195.42659694</v>
      </c>
      <c r="I41" s="16" t="n">
        <f aca="false">E40*C$3</f>
        <v>3922818.08145254</v>
      </c>
      <c r="J41" s="16" t="n">
        <f aca="false">$C$7*E40</f>
        <v>196140.904072627</v>
      </c>
      <c r="K41" s="16" t="n">
        <f aca="false">MAXA(0,+E41-$C$6)</f>
        <v>31848766.2646528</v>
      </c>
    </row>
    <row r="42" customFormat="false" ht="12.75" hidden="false" customHeight="false" outlineLevel="0" collapsed="false">
      <c r="A42" s="13" t="n">
        <f aca="false">A41+1</f>
        <v>16</v>
      </c>
      <c r="B42" s="14" t="n">
        <f aca="false">1/(1+$C$3)*B43</f>
        <v>0.26333125430608</v>
      </c>
      <c r="C42" s="14" t="n">
        <f aca="false">1/$C$3*(1-B42)</f>
        <v>7.3666874569392</v>
      </c>
      <c r="D42" s="15" t="n">
        <f aca="false">0.06*$C$4</f>
        <v>0.06</v>
      </c>
      <c r="E42" s="16" t="n">
        <f aca="false">E41-H42-G42</f>
        <v>32637241.9819385</v>
      </c>
      <c r="F42" s="16" t="n">
        <f aca="false">E41/C41</f>
        <v>4713172.69756652</v>
      </c>
      <c r="G42" s="16" t="n">
        <f aca="false">(E41-H42)*D42</f>
        <v>2083228.21161309</v>
      </c>
      <c r="H42" s="16" t="n">
        <f aca="false">F42-I42</f>
        <v>1128296.07110124</v>
      </c>
      <c r="I42" s="16" t="n">
        <f aca="false">E41*C$3</f>
        <v>3584876.62646528</v>
      </c>
      <c r="J42" s="16" t="n">
        <f aca="false">$C$7*E41</f>
        <v>179243.831323264</v>
      </c>
      <c r="K42" s="16" t="n">
        <f aca="false">MAXA(0,+E42-$C$6)</f>
        <v>28637241.9819385</v>
      </c>
    </row>
    <row r="43" customFormat="false" ht="12.75" hidden="false" customHeight="false" outlineLevel="0" collapsed="false">
      <c r="A43" s="13" t="n">
        <f aca="false">A42+1</f>
        <v>17</v>
      </c>
      <c r="B43" s="14" t="n">
        <f aca="false">1/(1+$C$3)*B44</f>
        <v>0.289664379736688</v>
      </c>
      <c r="C43" s="14" t="n">
        <f aca="false">1/$C$3*(1-B43)</f>
        <v>7.10335620263312</v>
      </c>
      <c r="D43" s="15" t="n">
        <f aca="false">0.06*$C$4</f>
        <v>0.06</v>
      </c>
      <c r="E43" s="16" t="n">
        <f aca="false">E42-H43-G43</f>
        <v>29582348.8137546</v>
      </c>
      <c r="F43" s="16" t="n">
        <f aca="false">E42/C42</f>
        <v>4430382.33571252</v>
      </c>
      <c r="G43" s="16" t="n">
        <f aca="false">(E42-H43)*D43</f>
        <v>1888235.03066519</v>
      </c>
      <c r="H43" s="16" t="n">
        <f aca="false">F43-I43</f>
        <v>1166658.13751868</v>
      </c>
      <c r="I43" s="16" t="n">
        <f aca="false">E42*C$3</f>
        <v>3263724.19819385</v>
      </c>
      <c r="J43" s="16" t="n">
        <f aca="false">$C$7*E42</f>
        <v>163186.209909692</v>
      </c>
      <c r="K43" s="16" t="n">
        <f aca="false">MAXA(0,+E43-$C$6)</f>
        <v>25582348.8137546</v>
      </c>
    </row>
    <row r="44" customFormat="false" ht="12.75" hidden="false" customHeight="false" outlineLevel="0" collapsed="false">
      <c r="A44" s="13" t="n">
        <f aca="false">A43+1</f>
        <v>18</v>
      </c>
      <c r="B44" s="14" t="n">
        <f aca="false">1/(1+$C$3)*B45</f>
        <v>0.318630817710357</v>
      </c>
      <c r="C44" s="14" t="n">
        <f aca="false">1/$C$3*(1-B44)</f>
        <v>6.81369182289643</v>
      </c>
      <c r="D44" s="15" t="n">
        <f aca="false">0.06*$C$4</f>
        <v>0.06</v>
      </c>
      <c r="E44" s="16" t="n">
        <f aca="false">E43-H44-G44</f>
        <v>26673462.8415867</v>
      </c>
      <c r="F44" s="16" t="n">
        <f aca="false">E43/C43</f>
        <v>4164559.39556977</v>
      </c>
      <c r="G44" s="16" t="n">
        <f aca="false">(E43-H44)*D44</f>
        <v>1702561.45797362</v>
      </c>
      <c r="H44" s="16" t="n">
        <f aca="false">F44-I44</f>
        <v>1206324.51419431</v>
      </c>
      <c r="I44" s="16" t="n">
        <f aca="false">E43*C$3</f>
        <v>2958234.88137546</v>
      </c>
      <c r="J44" s="16" t="n">
        <f aca="false">$C$7*E43</f>
        <v>147911.744068773</v>
      </c>
      <c r="K44" s="16" t="n">
        <f aca="false">MAXA(0,+E44-$C$6)</f>
        <v>22673462.8415867</v>
      </c>
    </row>
    <row r="45" customFormat="false" ht="12.75" hidden="false" customHeight="false" outlineLevel="0" collapsed="false">
      <c r="A45" s="13" t="n">
        <f aca="false">A44+1</f>
        <v>19</v>
      </c>
      <c r="B45" s="14" t="n">
        <f aca="false">1/(1+$C$3)*B46</f>
        <v>0.350493899481392</v>
      </c>
      <c r="C45" s="14" t="n">
        <f aca="false">1/$C$3*(1-B45)</f>
        <v>6.49506100518608</v>
      </c>
      <c r="D45" s="15" t="n">
        <f aca="false">0.06*$C$4</f>
        <v>0.06</v>
      </c>
      <c r="E45" s="16" t="n">
        <f aca="false">E44-H45-G45</f>
        <v>23900555.8962752</v>
      </c>
      <c r="F45" s="16" t="n">
        <f aca="false">E44/C44</f>
        <v>3914685.83183559</v>
      </c>
      <c r="G45" s="16" t="n">
        <f aca="false">(E44-H45)*D45</f>
        <v>1525567.39763458</v>
      </c>
      <c r="H45" s="16" t="n">
        <f aca="false">F45-I45</f>
        <v>1247339.54767692</v>
      </c>
      <c r="I45" s="16" t="n">
        <f aca="false">E44*C$3</f>
        <v>2667346.28415867</v>
      </c>
      <c r="J45" s="16" t="n">
        <f aca="false">$C$7*E44</f>
        <v>133367.314207933</v>
      </c>
      <c r="K45" s="16" t="n">
        <f aca="false">MAXA(0,+E45-$C$6)</f>
        <v>19900555.8962752</v>
      </c>
    </row>
    <row r="46" customFormat="false" ht="12.75" hidden="false" customHeight="false" outlineLevel="0" collapsed="false">
      <c r="A46" s="13" t="n">
        <f aca="false">A45+1</f>
        <v>20</v>
      </c>
      <c r="B46" s="14" t="n">
        <f aca="false">1/(1+$C$3)*B47</f>
        <v>0.385543289429532</v>
      </c>
      <c r="C46" s="14" t="n">
        <f aca="false">1/$C$3*(1-B46)</f>
        <v>6.14456710570468</v>
      </c>
      <c r="D46" s="15" t="n">
        <f aca="false">0.06*$C$4</f>
        <v>0.06</v>
      </c>
      <c r="E46" s="16" t="n">
        <f aca="false">E45-H46-G46</f>
        <v>21254158.3957386</v>
      </c>
      <c r="F46" s="16" t="n">
        <f aca="false">E45/C45</f>
        <v>3679804.68192545</v>
      </c>
      <c r="G46" s="16" t="n">
        <f aca="false">(E45-H46)*D46</f>
        <v>1356648.40823863</v>
      </c>
      <c r="H46" s="16" t="n">
        <f aca="false">F46-I46</f>
        <v>1289749.09229794</v>
      </c>
      <c r="I46" s="16" t="n">
        <f aca="false">E45*C$3</f>
        <v>2390055.58962752</v>
      </c>
      <c r="J46" s="16" t="n">
        <f aca="false">$C$7*E45</f>
        <v>119502.779481376</v>
      </c>
      <c r="K46" s="16" t="n">
        <f aca="false">MAXA(0,+E46-$C$6)</f>
        <v>17254158.3957386</v>
      </c>
    </row>
    <row r="47" customFormat="false" ht="12.75" hidden="false" customHeight="false" outlineLevel="0" collapsed="false">
      <c r="A47" s="13" t="n">
        <f aca="false">A46+1</f>
        <v>21</v>
      </c>
      <c r="B47" s="14" t="n">
        <f aca="false">1/(1+$C$3)*B48</f>
        <v>0.424097618372485</v>
      </c>
      <c r="C47" s="14" t="n">
        <f aca="false">1/$C$3*(1-B47)</f>
        <v>5.75902381627515</v>
      </c>
      <c r="D47" s="15" t="n">
        <f aca="false">0.06*$C$4</f>
        <v>0.06</v>
      </c>
      <c r="E47" s="16" t="n">
        <f aca="false">E46-H47-G47</f>
        <v>18725324.3642444</v>
      </c>
      <c r="F47" s="16" t="n">
        <f aca="false">E46/C46</f>
        <v>3459016.40100992</v>
      </c>
      <c r="G47" s="16" t="n">
        <f aca="false">(E46-H47)*D47</f>
        <v>1195233.47005815</v>
      </c>
      <c r="H47" s="16" t="n">
        <f aca="false">F47-I47</f>
        <v>1333600.56143607</v>
      </c>
      <c r="I47" s="16" t="n">
        <f aca="false">E46*C$3</f>
        <v>2125415.83957386</v>
      </c>
      <c r="J47" s="16" t="n">
        <f aca="false">$C$7*E46</f>
        <v>106270.791978693</v>
      </c>
      <c r="K47" s="16" t="n">
        <f aca="false">MAXA(0,+E47-$C$6)</f>
        <v>14725324.3642444</v>
      </c>
    </row>
    <row r="48" customFormat="false" ht="12.75" hidden="false" customHeight="false" outlineLevel="0" collapsed="false">
      <c r="A48" s="13" t="n">
        <f aca="false">A47+1</f>
        <v>22</v>
      </c>
      <c r="B48" s="14" t="n">
        <f aca="false">1/(1+$C$3)*B49</f>
        <v>0.466507380209733</v>
      </c>
      <c r="C48" s="14" t="n">
        <f aca="false">1/$C$3*(1-B48)</f>
        <v>5.33492619790267</v>
      </c>
      <c r="D48" s="15" t="n">
        <f aca="false">0.06*$C$4</f>
        <v>0.06</v>
      </c>
      <c r="E48" s="16" t="n">
        <f aca="false">E47-H48-G48</f>
        <v>16305598.5006963</v>
      </c>
      <c r="F48" s="16" t="n">
        <f aca="false">E47/C47</f>
        <v>3251475.41694933</v>
      </c>
      <c r="G48" s="16" t="n">
        <f aca="false">(E47-H48)*D48</f>
        <v>1040782.88302317</v>
      </c>
      <c r="H48" s="16" t="n">
        <f aca="false">F48-I48</f>
        <v>1378942.98052489</v>
      </c>
      <c r="I48" s="16" t="n">
        <f aca="false">E47*C$3</f>
        <v>1872532.43642444</v>
      </c>
      <c r="J48" s="16" t="n">
        <f aca="false">$C$7*E47</f>
        <v>93626.6218212218</v>
      </c>
      <c r="K48" s="16" t="n">
        <f aca="false">MAXA(0,+E48-$C$6)</f>
        <v>12305598.5006963</v>
      </c>
    </row>
    <row r="49" customFormat="false" ht="12.75" hidden="false" customHeight="false" outlineLevel="0" collapsed="false">
      <c r="A49" s="13" t="n">
        <f aca="false">A48+1</f>
        <v>23</v>
      </c>
      <c r="B49" s="14" t="n">
        <f aca="false">1/(1+$C$3)*B50</f>
        <v>0.513158118230707</v>
      </c>
      <c r="C49" s="14" t="n">
        <f aca="false">1/$C$3*(1-B49)</f>
        <v>4.86841881769293</v>
      </c>
      <c r="D49" s="15" t="n">
        <f aca="false">0.06*$C$4</f>
        <v>0.06</v>
      </c>
      <c r="E49" s="16" t="n">
        <f aca="false">E48-H49-G49</f>
        <v>13986985.1713036</v>
      </c>
      <c r="F49" s="16" t="n">
        <f aca="false">E48/C48</f>
        <v>3056386.89193237</v>
      </c>
      <c r="G49" s="16" t="n">
        <f aca="false">(E48-H49)*D49</f>
        <v>892786.287530014</v>
      </c>
      <c r="H49" s="16" t="n">
        <f aca="false">F49-I49</f>
        <v>1425827.04186274</v>
      </c>
      <c r="I49" s="16" t="n">
        <f aca="false">E48*C$3</f>
        <v>1630559.85006963</v>
      </c>
      <c r="J49" s="16" t="n">
        <f aca="false">$C$7*E48</f>
        <v>81527.9925034815</v>
      </c>
      <c r="K49" s="16" t="n">
        <f aca="false">MAXA(0,+E49-$C$6)</f>
        <v>9986985.17130355</v>
      </c>
    </row>
    <row r="50" customFormat="false" ht="12.75" hidden="false" customHeight="false" outlineLevel="0" collapsed="false">
      <c r="A50" s="13" t="n">
        <f aca="false">A49+1</f>
        <v>24</v>
      </c>
      <c r="B50" s="14" t="n">
        <f aca="false">1/(1+$C$3)*B51</f>
        <v>0.564473930053777</v>
      </c>
      <c r="C50" s="14" t="n">
        <f aca="false">1/$C$3*(1-B50)</f>
        <v>4.35526069946223</v>
      </c>
      <c r="D50" s="15" t="n">
        <f aca="false">0.06*$C$4</f>
        <v>0.06</v>
      </c>
      <c r="E50" s="16" t="n">
        <f aca="false">E49-H50-G50</f>
        <v>11761919.2094164</v>
      </c>
      <c r="F50" s="16" t="n">
        <f aca="false">E49/C49</f>
        <v>2873003.67841643</v>
      </c>
      <c r="G50" s="16" t="n">
        <f aca="false">(E49-H50)*D50</f>
        <v>750760.800601049</v>
      </c>
      <c r="H50" s="16" t="n">
        <f aca="false">F50-I50</f>
        <v>1474305.16128607</v>
      </c>
      <c r="I50" s="16" t="n">
        <f aca="false">E49*C$3</f>
        <v>1398698.51713036</v>
      </c>
      <c r="J50" s="16" t="n">
        <f aca="false">$C$7*E49</f>
        <v>69934.9258565177</v>
      </c>
      <c r="K50" s="16" t="n">
        <f aca="false">MAXA(0,+E50-$C$6)</f>
        <v>7761919.20941643</v>
      </c>
    </row>
    <row r="51" customFormat="false" ht="12.75" hidden="false" customHeight="false" outlineLevel="0" collapsed="false">
      <c r="A51" s="13" t="n">
        <f aca="false">A50+1</f>
        <v>25</v>
      </c>
      <c r="B51" s="14" t="n">
        <f aca="false">1/(1+$C$3)*B52</f>
        <v>0.620921323059155</v>
      </c>
      <c r="C51" s="14" t="n">
        <f aca="false">1/$C$3*(1-B51)</f>
        <v>3.79078676940845</v>
      </c>
      <c r="D51" s="15" t="n">
        <f aca="false">0.06*$C$4</f>
        <v>0.06</v>
      </c>
      <c r="E51" s="16" t="n">
        <f aca="false">E50-H51-G51</f>
        <v>9623238.41228783</v>
      </c>
      <c r="F51" s="16" t="n">
        <f aca="false">E50/C50</f>
        <v>2700623.45771144</v>
      </c>
      <c r="G51" s="16" t="n">
        <f aca="false">(E50-H51)*D51</f>
        <v>614249.260358798</v>
      </c>
      <c r="H51" s="16" t="n">
        <f aca="false">F51-I51</f>
        <v>1524431.5367698</v>
      </c>
      <c r="I51" s="16" t="n">
        <f aca="false">E50*C$3</f>
        <v>1176191.92094164</v>
      </c>
      <c r="J51" s="16" t="n">
        <f aca="false">$C$7*E50</f>
        <v>58809.5960470821</v>
      </c>
      <c r="K51" s="16" t="n">
        <f aca="false">MAXA(0,+E51-$C$6)</f>
        <v>5623238.41228783</v>
      </c>
    </row>
    <row r="52" customFormat="false" ht="12.75" hidden="false" customHeight="false" outlineLevel="0" collapsed="false">
      <c r="A52" s="13" t="n">
        <f aca="false">A51+1</f>
        <v>26</v>
      </c>
      <c r="B52" s="14" t="n">
        <f aca="false">1/(1+$C$3)*B53</f>
        <v>0.683013455365071</v>
      </c>
      <c r="C52" s="14" t="n">
        <f aca="false">1/$C$3*(1-B52)</f>
        <v>3.1698654463493</v>
      </c>
      <c r="D52" s="15" t="n">
        <f aca="false">0.06*$C$4</f>
        <v>0.06</v>
      </c>
      <c r="E52" s="16" t="n">
        <f aca="false">E51-H52-G52</f>
        <v>7564157.63107179</v>
      </c>
      <c r="F52" s="16" t="n">
        <f aca="false">E51/C51</f>
        <v>2538586.05024875</v>
      </c>
      <c r="G52" s="16" t="n">
        <f aca="false">(E51-H52)*D52</f>
        <v>482818.572196072</v>
      </c>
      <c r="H52" s="16" t="n">
        <f aca="false">F52-I52</f>
        <v>1576262.20901997</v>
      </c>
      <c r="I52" s="16" t="n">
        <f aca="false">E51*C$3</f>
        <v>962323.841228783</v>
      </c>
      <c r="J52" s="16" t="n">
        <f aca="false">$C$7*E51</f>
        <v>48116.1920614392</v>
      </c>
      <c r="K52" s="16" t="n">
        <f aca="false">MAXA(0,+E52-$C$6)</f>
        <v>3564157.63107179</v>
      </c>
    </row>
    <row r="53" customFormat="false" ht="12.75" hidden="false" customHeight="false" outlineLevel="0" collapsed="false">
      <c r="A53" s="13" t="n">
        <f aca="false">A52+1</f>
        <v>27</v>
      </c>
      <c r="B53" s="14" t="n">
        <f aca="false">1/(1+$C$3)*B54</f>
        <v>0.751314800901578</v>
      </c>
      <c r="C53" s="14" t="n">
        <f aca="false">1/$C$3*(1-B53)</f>
        <v>2.48685199098422</v>
      </c>
      <c r="D53" s="15" t="n">
        <f aca="false">0.06*$C$4</f>
        <v>0.06</v>
      </c>
      <c r="E53" s="16" t="n">
        <f aca="false">E52-H53-G53</f>
        <v>5578244.35652843</v>
      </c>
      <c r="F53" s="16" t="n">
        <f aca="false">E52/C52</f>
        <v>2386270.88723383</v>
      </c>
      <c r="G53" s="16" t="n">
        <f aca="false">(E52-H53)*D53</f>
        <v>356058.150416708</v>
      </c>
      <c r="H53" s="16" t="n">
        <f aca="false">F53-I53</f>
        <v>1629855.12412665</v>
      </c>
      <c r="I53" s="16" t="n">
        <f aca="false">E52*C$3</f>
        <v>756415.763107179</v>
      </c>
      <c r="J53" s="16" t="n">
        <f aca="false">$C$7*E52</f>
        <v>37820.788155359</v>
      </c>
      <c r="K53" s="16" t="n">
        <f aca="false">MAXA(0,+E53-$C$6)</f>
        <v>1578244.35652843</v>
      </c>
    </row>
    <row r="54" customFormat="false" ht="12.75" hidden="false" customHeight="false" outlineLevel="0" collapsed="false">
      <c r="A54" s="13" t="n">
        <f aca="false">A53+1</f>
        <v>28</v>
      </c>
      <c r="B54" s="14" t="n">
        <f aca="false">1/(1+$C$3)*B55</f>
        <v>0.826446280991735</v>
      </c>
      <c r="C54" s="14" t="n">
        <f aca="false">1/$C$3*(1-B54)</f>
        <v>1.73553719008265</v>
      </c>
      <c r="D54" s="15" t="n">
        <f aca="false">0.06*$C$4</f>
        <v>0.06</v>
      </c>
      <c r="E54" s="16" t="n">
        <f aca="false">E53-H54-G54</f>
        <v>3659395.70869059</v>
      </c>
      <c r="F54" s="16" t="n">
        <f aca="false">E53/C53</f>
        <v>2243094.6339998</v>
      </c>
      <c r="G54" s="16" t="n">
        <f aca="false">(E53-H54)*D54</f>
        <v>233578.449490888</v>
      </c>
      <c r="H54" s="16" t="n">
        <f aca="false">F54-I54</f>
        <v>1685270.19834696</v>
      </c>
      <c r="I54" s="16" t="n">
        <f aca="false">E53*C$3</f>
        <v>557824.435652843</v>
      </c>
      <c r="J54" s="16" t="n">
        <f aca="false">$C$7*E53</f>
        <v>27891.2217826422</v>
      </c>
      <c r="K54" s="16" t="n">
        <f aca="false">MAXA(0,+E54-$C$6)</f>
        <v>0</v>
      </c>
    </row>
    <row r="55" customFormat="false" ht="12.75" hidden="false" customHeight="false" outlineLevel="0" collapsed="false">
      <c r="A55" s="13" t="n">
        <f aca="false">A54+1</f>
        <v>29</v>
      </c>
      <c r="B55" s="14" t="n">
        <f aca="false">1/(1+$C$3)*B56</f>
        <v>0.909090909090909</v>
      </c>
      <c r="C55" s="14" t="n">
        <f aca="false">1/$C$3*(1-B55)</f>
        <v>0.909090909090909</v>
      </c>
      <c r="D55" s="15" t="n">
        <f aca="false">0.06*$C$4</f>
        <v>0.06</v>
      </c>
      <c r="E55" s="16" t="n">
        <f aca="false">E54-H55-G55</f>
        <v>1801816.74418384</v>
      </c>
      <c r="F55" s="16" t="n">
        <f aca="false">E54/C54</f>
        <v>2108508.95595981</v>
      </c>
      <c r="G55" s="16" t="n">
        <f aca="false">(E54-H55)*D55</f>
        <v>115009.57941599</v>
      </c>
      <c r="H55" s="16" t="n">
        <f aca="false">F55-I55</f>
        <v>1742569.38509075</v>
      </c>
      <c r="I55" s="16" t="n">
        <f aca="false">E54*C$3</f>
        <v>365939.570869059</v>
      </c>
      <c r="J55" s="16" t="n">
        <f aca="false">$C$7*E54</f>
        <v>18296.9785434529</v>
      </c>
      <c r="K55" s="16" t="n">
        <f aca="false">MAXA(0,+E55-$C$6)</f>
        <v>0</v>
      </c>
    </row>
    <row r="56" customFormat="false" ht="12.75" hidden="false" customHeight="false" outlineLevel="0" collapsed="false">
      <c r="A56" s="13" t="n">
        <f aca="false">A55+1</f>
        <v>30</v>
      </c>
      <c r="B56" s="14" t="n">
        <v>1</v>
      </c>
      <c r="C56" s="14" t="n">
        <f aca="false">1/$C$3*(1-B56)</f>
        <v>0</v>
      </c>
      <c r="D56" s="15" t="n">
        <f aca="false">0.06*$C$4</f>
        <v>0.06</v>
      </c>
      <c r="E56" s="16" t="n">
        <f aca="false">E55-H56-G56</f>
        <v>0</v>
      </c>
      <c r="F56" s="16" t="n">
        <f aca="false">E55/C55</f>
        <v>1981998.41860223</v>
      </c>
      <c r="G56" s="16" t="n">
        <f aca="false">(E55-H56)*D56</f>
        <v>0</v>
      </c>
      <c r="H56" s="16" t="n">
        <f aca="false">F56-I56</f>
        <v>1801816.74418384</v>
      </c>
      <c r="I56" s="16" t="n">
        <f aca="false">E55*C$3</f>
        <v>180181.674418384</v>
      </c>
      <c r="J56" s="16" t="n">
        <f aca="false">$C$7*E55</f>
        <v>9009.08372091921</v>
      </c>
      <c r="K56" s="16" t="n">
        <f aca="false">MAXA(0,+E56-$C$6)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33"/>
  <sheetViews>
    <sheetView showFormulas="false" showGridLines="true" showRowColHeaders="true" showZeros="true" rightToLeft="false" tabSelected="false" showOutlineSymbols="true" defaultGridColor="true" view="normal" topLeftCell="T20" colorId="64" zoomScale="100" zoomScaleNormal="100" zoomScalePageLayoutView="100" workbookViewId="0">
      <selection pane="topLeft" activeCell="M14" activeCellId="0" sqref="M14:M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1" width="14.28"/>
    <col collapsed="false" customWidth="true" hidden="false" outlineLevel="0" max="12" min="12" style="1" width="32.56"/>
    <col collapsed="false" customWidth="true" hidden="false" outlineLevel="0" max="13" min="13" style="1" width="11.7"/>
  </cols>
  <sheetData>
    <row r="3" customFormat="false" ht="12.75" hidden="false" customHeight="false" outlineLevel="0" collapsed="false"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K3" s="1" t="s">
        <v>48</v>
      </c>
      <c r="L3" s="1" t="s">
        <v>49</v>
      </c>
      <c r="M3" s="1" t="s">
        <v>18</v>
      </c>
    </row>
    <row r="4" customFormat="false" ht="12.75" hidden="false" customHeight="false" outlineLevel="0" collapsed="false">
      <c r="A4" s="1" t="n">
        <v>1</v>
      </c>
      <c r="B4" s="1" t="n">
        <f aca="false">Tranches!Q27</f>
        <v>2400000</v>
      </c>
      <c r="C4" s="1" t="n">
        <f aca="false">Tranches!W27</f>
        <v>2475000</v>
      </c>
      <c r="D4" s="1" t="n">
        <f aca="false">Tranches!AC27</f>
        <v>2125000</v>
      </c>
      <c r="E4" s="1" t="n">
        <f aca="false">Tranches!AL27</f>
        <v>0</v>
      </c>
      <c r="F4" s="1" t="n">
        <f aca="false">Tranches!K27</f>
        <v>9880000</v>
      </c>
      <c r="G4" s="1" t="n">
        <f aca="false">SUM(B4:E4)</f>
        <v>7000000</v>
      </c>
      <c r="H4" s="1" t="n">
        <f aca="false">F4-G4</f>
        <v>2880000</v>
      </c>
      <c r="J4" s="1" t="n">
        <v>1</v>
      </c>
      <c r="K4" s="4" t="n">
        <f aca="false">((SUM(B4:E4))/(Tranches!O26+Tranches!U26+Tranches!AA26+IF(E4=0,0,Tranches!AG26)))</f>
        <v>0.0823529411764706</v>
      </c>
      <c r="L4" s="17" t="n">
        <f aca="false">N4-M4-K4</f>
        <v>0.0126470588235294</v>
      </c>
      <c r="M4" s="18" t="n">
        <f aca="false">Tranches!$C$5</f>
        <v>0.005</v>
      </c>
      <c r="N4" s="18" t="n">
        <f aca="false">Tranches!$C$3</f>
        <v>0.1</v>
      </c>
      <c r="O4" s="1" t="n">
        <f aca="false">H4/Tranches!E26</f>
        <v>0.0276923076923077</v>
      </c>
      <c r="Q4" s="1" t="n">
        <v>1</v>
      </c>
      <c r="R4" s="18" t="n">
        <f aca="false">N4</f>
        <v>0.1</v>
      </c>
      <c r="S4" s="18" t="n">
        <v>0.01</v>
      </c>
      <c r="T4" s="4" t="n">
        <f aca="false">K4</f>
        <v>0.0823529411764706</v>
      </c>
    </row>
    <row r="5" customFormat="false" ht="12.75" hidden="false" customHeight="false" outlineLevel="0" collapsed="false">
      <c r="A5" s="1" t="n">
        <v>2</v>
      </c>
      <c r="B5" s="1" t="n">
        <f aca="false">Tranches!Q28</f>
        <v>2101086.80668363</v>
      </c>
      <c r="C5" s="1" t="n">
        <f aca="false">Tranches!W28</f>
        <v>2475000</v>
      </c>
      <c r="D5" s="1" t="n">
        <f aca="false">Tranches!AC28</f>
        <v>2125000</v>
      </c>
      <c r="E5" s="1" t="n">
        <f aca="false">Tranches!AL28</f>
        <v>0</v>
      </c>
      <c r="F5" s="1" t="n">
        <f aca="false">Tranches!K28</f>
        <v>9653290.58293681</v>
      </c>
      <c r="G5" s="1" t="n">
        <f aca="false">SUM(B5:E5)</f>
        <v>6701086.80668363</v>
      </c>
      <c r="H5" s="1" t="n">
        <f aca="false">F5-G5</f>
        <v>2952203.77625318</v>
      </c>
      <c r="J5" s="1" t="n">
        <v>2</v>
      </c>
      <c r="K5" s="4" t="n">
        <f aca="false">((SUM(B5:E5))/(Tranches!O27+Tranches!U27+Tranches!AA27+IF(E5=0,0,Tranches!AG27)))</f>
        <v>0.0824611269585803</v>
      </c>
      <c r="L5" s="17" t="n">
        <f aca="false">N5-M5-K5</f>
        <v>0.0125388730414197</v>
      </c>
      <c r="M5" s="18" t="n">
        <f aca="false">Tranches!$C$5</f>
        <v>0.005</v>
      </c>
      <c r="N5" s="18" t="n">
        <f aca="false">Tranches!$C$3</f>
        <v>0.1</v>
      </c>
      <c r="O5" s="1" t="n">
        <f aca="false">H5/Tranches!E27</f>
        <v>0.029053239031237</v>
      </c>
      <c r="Q5" s="1" t="n">
        <v>2</v>
      </c>
      <c r="R5" s="18" t="n">
        <f aca="false">N5</f>
        <v>0.1</v>
      </c>
      <c r="S5" s="18" t="n">
        <v>0.01</v>
      </c>
      <c r="T5" s="4" t="n">
        <f aca="false">K5</f>
        <v>0.0824611269585803</v>
      </c>
    </row>
    <row r="6" customFormat="false" ht="12.75" hidden="false" customHeight="false" outlineLevel="0" collapsed="false">
      <c r="A6" s="1" t="n">
        <v>3</v>
      </c>
      <c r="B6" s="1" t="n">
        <f aca="false">Tranches!Q29</f>
        <v>1598813.33156223</v>
      </c>
      <c r="C6" s="1" t="n">
        <f aca="false">Tranches!W29</f>
        <v>2475000</v>
      </c>
      <c r="D6" s="1" t="n">
        <f aca="false">Tranches!AC29</f>
        <v>2125000</v>
      </c>
      <c r="E6" s="1" t="n">
        <f aca="false">Tranches!AL29</f>
        <v>0</v>
      </c>
      <c r="F6" s="1" t="n">
        <f aca="false">Tranches!K29</f>
        <v>9196633.33123014</v>
      </c>
      <c r="G6" s="1" t="n">
        <f aca="false">SUM(B6:E6)</f>
        <v>6198813.33156223</v>
      </c>
      <c r="H6" s="1" t="n">
        <f aca="false">F6-G6</f>
        <v>2997819.99966792</v>
      </c>
      <c r="J6" s="1" t="n">
        <v>3</v>
      </c>
      <c r="K6" s="4" t="n">
        <f aca="false">((SUM(B6:E6))/(Tranches!O28+Tranches!U28+Tranches!AA28+IF(E6=0,0,Tranches!AG28)))</f>
        <v>0.0826671941791916</v>
      </c>
      <c r="L6" s="17" t="n">
        <f aca="false">N6-M6-K6</f>
        <v>0.0123328058208084</v>
      </c>
      <c r="M6" s="18" t="n">
        <f aca="false">Tranches!$C$5</f>
        <v>0.005</v>
      </c>
      <c r="N6" s="18" t="n">
        <f aca="false">Tranches!$C$3</f>
        <v>0.1</v>
      </c>
      <c r="O6" s="1" t="n">
        <f aca="false">H6/Tranches!E28</f>
        <v>0.0309670821605278</v>
      </c>
      <c r="Q6" s="1" t="n">
        <v>3</v>
      </c>
      <c r="R6" s="18" t="n">
        <f aca="false">N6</f>
        <v>0.1</v>
      </c>
      <c r="S6" s="18" t="n">
        <v>0.01</v>
      </c>
      <c r="T6" s="4" t="n">
        <f aca="false">K6</f>
        <v>0.0826671941791916</v>
      </c>
    </row>
    <row r="7" customFormat="false" ht="12.75" hidden="false" customHeight="false" outlineLevel="0" collapsed="false">
      <c r="A7" s="1" t="n">
        <v>4</v>
      </c>
      <c r="B7" s="1" t="n">
        <f aca="false">Tranches!Q30</f>
        <v>934305.147544941</v>
      </c>
      <c r="C7" s="1" t="n">
        <f aca="false">Tranches!W30</f>
        <v>2475000</v>
      </c>
      <c r="D7" s="1" t="n">
        <f aca="false">Tranches!AC30</f>
        <v>2125000</v>
      </c>
      <c r="E7" s="1" t="n">
        <f aca="false">Tranches!AL30</f>
        <v>0</v>
      </c>
      <c r="F7" s="1" t="n">
        <f aca="false">Tranches!K30</f>
        <v>8559903.68770962</v>
      </c>
      <c r="G7" s="1" t="n">
        <f aca="false">SUM(B7:E7)</f>
        <v>5534305.14754494</v>
      </c>
      <c r="H7" s="1" t="n">
        <f aca="false">F7-G7</f>
        <v>3025598.54016468</v>
      </c>
      <c r="J7" s="1" t="n">
        <v>4</v>
      </c>
      <c r="K7" s="4" t="n">
        <f aca="false">((SUM(B7:E7))/(Tranches!O29+Tranches!U29+Tranches!AA29+IF(E7=0,0,Tranches!AG29)))</f>
        <v>0.0829994534540949</v>
      </c>
      <c r="L7" s="17" t="n">
        <f aca="false">N7-M7-K7</f>
        <v>0.0120005465459051</v>
      </c>
      <c r="M7" s="18" t="n">
        <f aca="false">Tranches!$C$5</f>
        <v>0.005</v>
      </c>
      <c r="N7" s="18" t="n">
        <f aca="false">Tranches!$C$3</f>
        <v>0.1</v>
      </c>
      <c r="O7" s="1" t="n">
        <f aca="false">H7/Tranches!E29</f>
        <v>0.0335788662819117</v>
      </c>
      <c r="Q7" s="1" t="n">
        <v>4</v>
      </c>
      <c r="R7" s="18" t="n">
        <f aca="false">N7</f>
        <v>0.1</v>
      </c>
      <c r="S7" s="18" t="n">
        <v>0.01</v>
      </c>
      <c r="T7" s="4" t="n">
        <f aca="false">K7</f>
        <v>0.0829994534540949</v>
      </c>
    </row>
    <row r="8" customFormat="false" ht="12.75" hidden="false" customHeight="false" outlineLevel="0" collapsed="false">
      <c r="A8" s="1" t="n">
        <v>5</v>
      </c>
      <c r="B8" s="1" t="n">
        <f aca="false">Tranches!Q31</f>
        <v>272109.961808388</v>
      </c>
      <c r="C8" s="1" t="n">
        <f aca="false">Tranches!W31</f>
        <v>2475000</v>
      </c>
      <c r="D8" s="1" t="n">
        <f aca="false">Tranches!AC31</f>
        <v>2125000</v>
      </c>
      <c r="E8" s="1" t="n">
        <f aca="false">Tranches!AL31</f>
        <v>0</v>
      </c>
      <c r="F8" s="1" t="n">
        <f aca="false">Tranches!K31</f>
        <v>7939634.37389746</v>
      </c>
      <c r="G8" s="1" t="n">
        <f aca="false">SUM(B8:E8)</f>
        <v>4872109.96180839</v>
      </c>
      <c r="H8" s="1" t="n">
        <f aca="false">F8-G8</f>
        <v>3067524.41208907</v>
      </c>
      <c r="J8" s="1" t="n">
        <v>5</v>
      </c>
      <c r="K8" s="4" t="n">
        <f aca="false">((SUM(B8:E8))/(Tranches!O30+Tranches!U30+Tranches!AA30+IF(E8=0,0,Tranches!AG30)))</f>
        <v>0.0834245769322191</v>
      </c>
      <c r="L8" s="17" t="n">
        <f aca="false">N8-M8-K8</f>
        <v>0.0115754230677809</v>
      </c>
      <c r="M8" s="18" t="n">
        <f aca="false">Tranches!$C$5</f>
        <v>0.005</v>
      </c>
      <c r="N8" s="18" t="n">
        <f aca="false">Tranches!$C$3</f>
        <v>0.1</v>
      </c>
      <c r="O8" s="1" t="n">
        <f aca="false">H8/Tranches!E30</f>
        <v>0.0367038084406663</v>
      </c>
      <c r="Q8" s="1" t="n">
        <v>5</v>
      </c>
      <c r="R8" s="18" t="n">
        <f aca="false">N8</f>
        <v>0.1</v>
      </c>
      <c r="S8" s="18" t="n">
        <v>0.01</v>
      </c>
      <c r="T8" s="4" t="n">
        <f aca="false">K8</f>
        <v>0.0834245769322191</v>
      </c>
    </row>
    <row r="9" customFormat="false" ht="12.75" hidden="false" customHeight="false" outlineLevel="0" collapsed="false">
      <c r="A9" s="1" t="n">
        <v>6</v>
      </c>
      <c r="B9" s="1" t="n">
        <f aca="false">Tranches!Q32</f>
        <v>0</v>
      </c>
      <c r="C9" s="1" t="n">
        <f aca="false">Tranches!W32</f>
        <v>2092933.50469943</v>
      </c>
      <c r="D9" s="1" t="n">
        <f aca="false">Tranches!AC32</f>
        <v>2125000</v>
      </c>
      <c r="E9" s="1" t="n">
        <f aca="false">Tranches!AL32</f>
        <v>0</v>
      </c>
      <c r="F9" s="1" t="n">
        <f aca="false">Tranches!K32</f>
        <v>7357583.7775076</v>
      </c>
      <c r="G9" s="1" t="n">
        <f aca="false">SUM(B9:E9)</f>
        <v>4217933.50469943</v>
      </c>
      <c r="H9" s="1" t="n">
        <f aca="false">F9-G9</f>
        <v>3139650.27280817</v>
      </c>
      <c r="J9" s="1" t="n">
        <v>6</v>
      </c>
      <c r="K9" s="4" t="n">
        <f aca="false">((SUM(B9:E9))/(Tranches!O31+Tranches!U31+Tranches!AA31+IF(E9=0,0,Tranches!AG31)))</f>
        <v>0.0837408452678087</v>
      </c>
      <c r="L9" s="17" t="n">
        <f aca="false">N9-M9-K9</f>
        <v>0.0112591547321913</v>
      </c>
      <c r="M9" s="18" t="n">
        <f aca="false">Tranches!$C$5</f>
        <v>0.005</v>
      </c>
      <c r="N9" s="18" t="n">
        <f aca="false">Tranches!$C$3</f>
        <v>0.1</v>
      </c>
      <c r="O9" s="1" t="n">
        <f aca="false">H9/Tranches!E31</f>
        <v>0.040538685652291</v>
      </c>
      <c r="Q9" s="1" t="n">
        <v>6</v>
      </c>
      <c r="R9" s="18" t="n">
        <f aca="false">N9</f>
        <v>0.1</v>
      </c>
      <c r="S9" s="18" t="n">
        <v>0.01</v>
      </c>
      <c r="T9" s="4" t="n">
        <f aca="false">K9</f>
        <v>0.0837408452678087</v>
      </c>
    </row>
    <row r="10" customFormat="false" ht="12.75" hidden="false" customHeight="false" outlineLevel="0" collapsed="false">
      <c r="A10" s="1" t="n">
        <v>7</v>
      </c>
      <c r="B10" s="1" t="n">
        <f aca="false">Tranches!Q33</f>
        <v>0</v>
      </c>
      <c r="C10" s="1" t="n">
        <f aca="false">Tranches!W33</f>
        <v>1447099.28527442</v>
      </c>
      <c r="D10" s="1" t="n">
        <f aca="false">Tranches!AC33</f>
        <v>2125000</v>
      </c>
      <c r="E10" s="1" t="n">
        <f aca="false">Tranches!AL33</f>
        <v>0</v>
      </c>
      <c r="F10" s="1" t="n">
        <f aca="false">Tranches!K33</f>
        <v>6811224.41068866</v>
      </c>
      <c r="G10" s="1" t="n">
        <f aca="false">SUM(B10:E10)</f>
        <v>3572099.28527442</v>
      </c>
      <c r="H10" s="1" t="n">
        <f aca="false">F10-G10</f>
        <v>3239125.12541424</v>
      </c>
      <c r="J10" s="1" t="n">
        <v>7</v>
      </c>
      <c r="K10" s="4" t="n">
        <f aca="false">((SUM(B10:E10))/(Tranches!O32+Tranches!U32+Tranches!AA32+IF(E10=0,0,Tranches!AG32)))</f>
        <v>0.0839691848216503</v>
      </c>
      <c r="L10" s="17" t="n">
        <f aca="false">N10-M10-K10</f>
        <v>0.0110308151783497</v>
      </c>
      <c r="M10" s="18" t="n">
        <f aca="false">Tranches!$C$5</f>
        <v>0.005</v>
      </c>
      <c r="N10" s="18" t="n">
        <f aca="false">Tranches!$C$3</f>
        <v>0.1</v>
      </c>
      <c r="O10" s="1" t="n">
        <f aca="false">H10/Tranches!E32</f>
        <v>0.0451779105136312</v>
      </c>
      <c r="Q10" s="1" t="n">
        <v>7</v>
      </c>
      <c r="R10" s="18" t="n">
        <f aca="false">N10</f>
        <v>0.1</v>
      </c>
      <c r="S10" s="18" t="n">
        <v>0.01</v>
      </c>
      <c r="T10" s="4" t="n">
        <f aca="false">K10</f>
        <v>0.0839691848216503</v>
      </c>
    </row>
    <row r="11" customFormat="false" ht="12.75" hidden="false" customHeight="false" outlineLevel="0" collapsed="false">
      <c r="A11" s="1" t="n">
        <v>8</v>
      </c>
      <c r="B11" s="1" t="n">
        <f aca="false">Tranches!Q34</f>
        <v>0</v>
      </c>
      <c r="C11" s="1" t="n">
        <f aca="false">Tranches!W34</f>
        <v>814783.070074752</v>
      </c>
      <c r="D11" s="1" t="n">
        <f aca="false">Tranches!AC34</f>
        <v>2125000</v>
      </c>
      <c r="E11" s="1" t="n">
        <f aca="false">Tranches!AL34</f>
        <v>0</v>
      </c>
      <c r="F11" s="1" t="n">
        <f aca="false">Tranches!K34</f>
        <v>6298190.79755289</v>
      </c>
      <c r="G11" s="1" t="n">
        <f aca="false">SUM(B11:E11)</f>
        <v>2939783.07007475</v>
      </c>
      <c r="H11" s="1" t="n">
        <f aca="false">F11-G11</f>
        <v>3358407.72747814</v>
      </c>
      <c r="J11" s="1" t="n">
        <v>8</v>
      </c>
      <c r="K11" s="4" t="n">
        <f aca="false">((SUM(B11:E11))/(Tranches!O33+Tranches!U33+Tranches!AA33+IF(E11=0,0,Tranches!AG33)))</f>
        <v>0.0842920551695548</v>
      </c>
      <c r="L11" s="17" t="n">
        <f aca="false">N11-M11-K11</f>
        <v>0.0107079448304452</v>
      </c>
      <c r="M11" s="18" t="n">
        <f aca="false">Tranches!$C$5</f>
        <v>0.005</v>
      </c>
      <c r="N11" s="18" t="n">
        <f aca="false">Tranches!$C$3</f>
        <v>0.1</v>
      </c>
      <c r="O11" s="1" t="n">
        <f aca="false">H11/Tranches!E33</f>
        <v>0.0506572036900481</v>
      </c>
      <c r="Q11" s="1" t="n">
        <v>8</v>
      </c>
      <c r="R11" s="18" t="n">
        <f aca="false">N11</f>
        <v>0.1</v>
      </c>
      <c r="S11" s="18" t="n">
        <v>0.01</v>
      </c>
      <c r="T11" s="4" t="n">
        <f aca="false">K11</f>
        <v>0.0842920551695548</v>
      </c>
    </row>
    <row r="12" customFormat="false" ht="12.75" hidden="false" customHeight="false" outlineLevel="0" collapsed="false">
      <c r="A12" s="1" t="n">
        <v>9</v>
      </c>
      <c r="B12" s="1" t="n">
        <f aca="false">Tranches!Q35</f>
        <v>0</v>
      </c>
      <c r="C12" s="1" t="n">
        <f aca="false">Tranches!W35</f>
        <v>192674.142370044</v>
      </c>
      <c r="D12" s="1" t="n">
        <f aca="false">Tranches!AC35</f>
        <v>2125000</v>
      </c>
      <c r="E12" s="1" t="n">
        <f aca="false">Tranches!AL35</f>
        <v>0</v>
      </c>
      <c r="F12" s="1" t="n">
        <f aca="false">Tranches!K35</f>
        <v>5816268.95865282</v>
      </c>
      <c r="G12" s="1" t="n">
        <f aca="false">SUM(B12:E12)</f>
        <v>2317674.14237004</v>
      </c>
      <c r="H12" s="1" t="n">
        <f aca="false">F12-G12</f>
        <v>3498594.81628277</v>
      </c>
      <c r="J12" s="1" t="n">
        <v>9</v>
      </c>
      <c r="K12" s="4" t="n">
        <f aca="false">((SUM(B12:E12))/(Tranches!O34+Tranches!U34+Tranches!AA34+IF(E12=0,0,Tranches!AG34)))</f>
        <v>0.0847864087979393</v>
      </c>
      <c r="L12" s="17" t="n">
        <f aca="false">N12-M12-K12</f>
        <v>0.0102135912020607</v>
      </c>
      <c r="M12" s="18" t="n">
        <f aca="false">Tranches!$C$5</f>
        <v>0.005</v>
      </c>
      <c r="N12" s="18" t="n">
        <f aca="false">Tranches!$C$3</f>
        <v>0.1</v>
      </c>
      <c r="O12" s="1" t="n">
        <f aca="false">H12/Tranches!E34</f>
        <v>0.0571442809659626</v>
      </c>
      <c r="Q12" s="1" t="n">
        <v>9</v>
      </c>
      <c r="R12" s="18" t="n">
        <f aca="false">N12</f>
        <v>0.1</v>
      </c>
      <c r="S12" s="18" t="n">
        <v>0.01</v>
      </c>
      <c r="T12" s="4" t="n">
        <f aca="false">K12</f>
        <v>0.0847864087979393</v>
      </c>
    </row>
    <row r="13" customFormat="false" ht="12.75" hidden="false" customHeight="false" outlineLevel="0" collapsed="false">
      <c r="A13" s="1" t="n">
        <v>10</v>
      </c>
      <c r="B13" s="1" t="n">
        <f aca="false">Tranches!Q36</f>
        <v>0</v>
      </c>
      <c r="C13" s="1" t="n">
        <f aca="false">Tranches!W36</f>
        <v>0</v>
      </c>
      <c r="D13" s="1" t="n">
        <f aca="false">Tranches!AC36</f>
        <v>1689655.63751569</v>
      </c>
      <c r="E13" s="1" t="n">
        <f aca="false">Tranches!AL36</f>
        <v>0</v>
      </c>
      <c r="F13" s="1" t="n">
        <f aca="false">Tranches!K36</f>
        <v>5363386.5768993</v>
      </c>
      <c r="G13" s="1" t="n">
        <f aca="false">SUM(B13:E13)</f>
        <v>1689655.63751569</v>
      </c>
      <c r="H13" s="1" t="n">
        <f aca="false">F13-G13</f>
        <v>3673730.93938361</v>
      </c>
      <c r="J13" s="1" t="n">
        <v>10</v>
      </c>
      <c r="K13" s="4" t="n">
        <f aca="false">((SUM(B13:E13))/(Tranches!O35+Tranches!U35+Tranches!AA35+IF(E13=0,0,Tranches!AG35)))</f>
        <v>0.085</v>
      </c>
      <c r="L13" s="17" t="n">
        <f aca="false">N13-M13-K13</f>
        <v>0.01</v>
      </c>
      <c r="M13" s="18" t="n">
        <f aca="false">Tranches!$C$5</f>
        <v>0.005</v>
      </c>
      <c r="N13" s="18" t="n">
        <f aca="false">Tranches!$C$3</f>
        <v>0.1</v>
      </c>
      <c r="O13" s="1" t="n">
        <f aca="false">H13/Tranches!E35</f>
        <v>0.0650716546789008</v>
      </c>
      <c r="Q13" s="1" t="n">
        <v>10</v>
      </c>
      <c r="R13" s="18" t="n">
        <f aca="false">N13</f>
        <v>0.1</v>
      </c>
      <c r="S13" s="18" t="n">
        <v>0.01</v>
      </c>
      <c r="T13" s="4" t="n">
        <f aca="false">K13</f>
        <v>0.085</v>
      </c>
    </row>
    <row r="14" customFormat="false" ht="12.75" hidden="false" customHeight="false" outlineLevel="0" collapsed="false">
      <c r="A14" s="1" t="n">
        <v>11</v>
      </c>
      <c r="B14" s="1" t="n">
        <f aca="false">Tranches!Q37</f>
        <v>0</v>
      </c>
      <c r="C14" s="1" t="n">
        <f aca="false">Tranches!W37</f>
        <v>0</v>
      </c>
      <c r="D14" s="1" t="n">
        <f aca="false">Tranches!AC37</f>
        <v>1059467.34768883</v>
      </c>
      <c r="E14" s="1" t="n">
        <f aca="false">Tranches!AL37</f>
        <v>0</v>
      </c>
      <c r="F14" s="1" t="n">
        <f aca="false">Tranches!K37</f>
        <v>4937603.80135775</v>
      </c>
      <c r="G14" s="1" t="n">
        <f aca="false">SUM(B14:E14)</f>
        <v>1059467.34768883</v>
      </c>
      <c r="H14" s="1" t="n">
        <f aca="false">F14-G14</f>
        <v>3878136.45366892</v>
      </c>
      <c r="J14" s="1" t="n">
        <v>11</v>
      </c>
      <c r="K14" s="4" t="n">
        <f aca="false">((SUM(B14:E14))/(Tranches!O36+Tranches!U36+Tranches!AA36+IF(E14=0,0,Tranches!AG36)))</f>
        <v>0.085</v>
      </c>
      <c r="L14" s="17" t="n">
        <f aca="false">N14-M14-K14</f>
        <v>0.015</v>
      </c>
      <c r="M14" s="18" t="n">
        <v>0</v>
      </c>
      <c r="N14" s="18" t="n">
        <f aca="false">Tranches!$C$3</f>
        <v>0.1</v>
      </c>
      <c r="O14" s="1" t="n">
        <f aca="false">H14/Tranches!E36</f>
        <v>0.0746157403308134</v>
      </c>
      <c r="Q14" s="1" t="n">
        <v>11</v>
      </c>
      <c r="R14" s="18" t="n">
        <f aca="false">N14</f>
        <v>0.1</v>
      </c>
      <c r="S14" s="18" t="n">
        <v>0.01</v>
      </c>
      <c r="T14" s="4" t="n">
        <f aca="false">K14</f>
        <v>0.085</v>
      </c>
    </row>
    <row r="15" customFormat="false" ht="12.75" hidden="false" customHeight="false" outlineLevel="0" collapsed="false">
      <c r="A15" s="1" t="n">
        <v>12</v>
      </c>
      <c r="B15" s="1" t="n">
        <f aca="false">Tranches!Q38</f>
        <v>0</v>
      </c>
      <c r="C15" s="1" t="n">
        <f aca="false">Tranches!W38</f>
        <v>0</v>
      </c>
      <c r="D15" s="1" t="n">
        <f aca="false">Tranches!AC38</f>
        <v>429471.018593825</v>
      </c>
      <c r="E15" s="1" t="n">
        <f aca="false">Tranches!AL38</f>
        <v>3483575.6471623</v>
      </c>
      <c r="F15" s="1" t="n">
        <f aca="false">Tranches!K38</f>
        <v>4537104.64834154</v>
      </c>
      <c r="G15" s="1" t="n">
        <f aca="false">SUM(B15:E15)</f>
        <v>3913046.66575613</v>
      </c>
      <c r="H15" s="1" t="n">
        <f aca="false">F15-G15</f>
        <v>624057.982585413</v>
      </c>
      <c r="J15" s="1" t="n">
        <v>12</v>
      </c>
      <c r="K15" s="4" t="n">
        <f aca="false">((SUM(B15:E15))/(Tranches!O37+Tranches!U37+Tranches!AA37+IF(E15=0,0,Tranches!AG37)))</f>
        <v>0.089422678689394</v>
      </c>
      <c r="L15" s="17" t="n">
        <f aca="false">N15-M15-K15</f>
        <v>0.010577321310606</v>
      </c>
      <c r="M15" s="18" t="n">
        <v>0</v>
      </c>
      <c r="N15" s="18" t="n">
        <f aca="false">Tranches!$C$3</f>
        <v>0.1</v>
      </c>
      <c r="O15" s="1" t="n">
        <f aca="false">H15/Tranches!E37</f>
        <v>0.0130668152799352</v>
      </c>
      <c r="Q15" s="1" t="n">
        <v>12</v>
      </c>
      <c r="R15" s="18" t="n">
        <f aca="false">N15</f>
        <v>0.1</v>
      </c>
      <c r="S15" s="18" t="n">
        <v>0.01</v>
      </c>
      <c r="T15" s="4" t="n">
        <f aca="false">K15</f>
        <v>0.089422678689394</v>
      </c>
    </row>
    <row r="16" customFormat="false" ht="12.75" hidden="false" customHeight="false" outlineLevel="0" collapsed="false">
      <c r="A16" s="1" t="n">
        <v>13</v>
      </c>
      <c r="B16" s="1" t="n">
        <f aca="false">Tranches!Q39</f>
        <v>0</v>
      </c>
      <c r="C16" s="1" t="n">
        <f aca="false">Tranches!W39</f>
        <v>0</v>
      </c>
      <c r="D16" s="1" t="n">
        <f aca="false">Tranches!AC39</f>
        <v>0</v>
      </c>
      <c r="E16" s="1" t="n">
        <f aca="false">Tranches!AL39</f>
        <v>3581231.64827641</v>
      </c>
      <c r="F16" s="1" t="n">
        <f aca="false">Tranches!K39</f>
        <v>4160188.96206954</v>
      </c>
      <c r="G16" s="1" t="n">
        <f aca="false">SUM(B16:E16)</f>
        <v>3581231.64827641</v>
      </c>
      <c r="H16" s="1" t="n">
        <f aca="false">F16-G16</f>
        <v>578957.313793132</v>
      </c>
      <c r="J16" s="1" t="n">
        <v>13</v>
      </c>
      <c r="K16" s="4" t="n">
        <f aca="false">((SUM(B16:E16))/(Tranches!O38+Tranches!U38+Tranches!AA38+IF(E16=0,0,Tranches!AG38)))</f>
        <v>0.09</v>
      </c>
      <c r="L16" s="17" t="n">
        <f aca="false">N16-M16-K16</f>
        <v>0.01</v>
      </c>
      <c r="M16" s="18" t="n">
        <v>0</v>
      </c>
      <c r="N16" s="18" t="n">
        <f aca="false">Tranches!$C$3</f>
        <v>0.1</v>
      </c>
      <c r="O16" s="1" t="n">
        <f aca="false">H16/Tranches!E38</f>
        <v>0.0132207804289223</v>
      </c>
      <c r="Q16" s="1" t="n">
        <v>13</v>
      </c>
      <c r="R16" s="18" t="n">
        <f aca="false">N16</f>
        <v>0.1</v>
      </c>
      <c r="S16" s="18" t="n">
        <v>0.01</v>
      </c>
      <c r="T16" s="4" t="n">
        <f aca="false">K16</f>
        <v>0.09</v>
      </c>
    </row>
    <row r="17" customFormat="false" ht="12.75" hidden="false" customHeight="false" outlineLevel="0" collapsed="false">
      <c r="A17" s="1" t="n">
        <v>14</v>
      </c>
      <c r="B17" s="1" t="n">
        <f aca="false">Tranches!Q40</f>
        <v>0</v>
      </c>
      <c r="C17" s="1" t="n">
        <f aca="false">Tranches!W40</f>
        <v>0</v>
      </c>
      <c r="D17" s="1" t="n">
        <f aca="false">Tranches!AC40</f>
        <v>0</v>
      </c>
      <c r="E17" s="1" t="n">
        <f aca="false">Tranches!AL40</f>
        <v>3244987.7999094</v>
      </c>
      <c r="F17" s="1" t="n">
        <f aca="false">Tranches!K40</f>
        <v>3805264.89990436</v>
      </c>
      <c r="G17" s="1" t="n">
        <f aca="false">SUM(B17:E17)</f>
        <v>3244987.7999094</v>
      </c>
      <c r="H17" s="1" t="n">
        <f aca="false">F17-G17</f>
        <v>560277.099994965</v>
      </c>
      <c r="J17" s="1" t="n">
        <v>14</v>
      </c>
      <c r="K17" s="4" t="n">
        <f aca="false">((SUM(B17:E17))/(Tranches!O39+Tranches!U39+Tranches!AA39+IF(E17=0,0,Tranches!AG39)))</f>
        <v>0.09</v>
      </c>
      <c r="L17" s="17" t="n">
        <f aca="false">N17-M17-K17</f>
        <v>0.01</v>
      </c>
      <c r="M17" s="18" t="n">
        <v>0</v>
      </c>
      <c r="N17" s="18" t="n">
        <f aca="false">Tranches!$C$3</f>
        <v>0.1</v>
      </c>
      <c r="O17" s="1" t="n">
        <f aca="false">H17/Tranches!E39</f>
        <v>0.0139875477528146</v>
      </c>
      <c r="Q17" s="1" t="n">
        <v>14</v>
      </c>
      <c r="R17" s="18" t="n">
        <f aca="false">N17</f>
        <v>0.1</v>
      </c>
      <c r="S17" s="18" t="n">
        <v>0.01</v>
      </c>
      <c r="T17" s="4" t="n">
        <f aca="false">K17</f>
        <v>0.09</v>
      </c>
    </row>
    <row r="18" customFormat="false" ht="12.75" hidden="false" customHeight="false" outlineLevel="0" collapsed="false">
      <c r="A18" s="1" t="n">
        <v>15</v>
      </c>
      <c r="B18" s="1" t="n">
        <f aca="false">Tranches!Q41</f>
        <v>0</v>
      </c>
      <c r="C18" s="1" t="n">
        <f aca="false">Tranches!W41</f>
        <v>0</v>
      </c>
      <c r="D18" s="1" t="n">
        <f aca="false">Tranches!AC41</f>
        <v>0</v>
      </c>
      <c r="E18" s="1" t="n">
        <f aca="false">Tranches!AL41</f>
        <v>2928166.01988934</v>
      </c>
      <c r="F18" s="1" t="n">
        <f aca="false">Tranches!K41</f>
        <v>3470841.90988319</v>
      </c>
      <c r="G18" s="1" t="n">
        <f aca="false">SUM(B18:E18)</f>
        <v>2928166.01988934</v>
      </c>
      <c r="H18" s="1" t="n">
        <f aca="false">F18-G18</f>
        <v>542675.889993851</v>
      </c>
      <c r="J18" s="1" t="n">
        <v>15</v>
      </c>
      <c r="K18" s="4" t="n">
        <f aca="false">((SUM(B18:E18))/(Tranches!O40+Tranches!U40+Tranches!AA40+IF(E18=0,0,Tranches!AG40)))</f>
        <v>0.09</v>
      </c>
      <c r="L18" s="17" t="n">
        <f aca="false">N18-M18-K18</f>
        <v>0.01</v>
      </c>
      <c r="M18" s="18" t="n">
        <v>0</v>
      </c>
      <c r="N18" s="18" t="n">
        <f aca="false">Tranches!$C$3</f>
        <v>0.1</v>
      </c>
      <c r="O18" s="1" t="n">
        <f aca="false">H18/Tranches!E40</f>
        <v>0.0148535170681833</v>
      </c>
      <c r="Q18" s="1" t="n">
        <v>15</v>
      </c>
      <c r="R18" s="18" t="n">
        <f aca="false">N18</f>
        <v>0.1</v>
      </c>
      <c r="S18" s="18" t="n">
        <v>0.01</v>
      </c>
      <c r="T18" s="4" t="n">
        <f aca="false">K18</f>
        <v>0.09</v>
      </c>
    </row>
    <row r="19" customFormat="false" ht="12.75" hidden="false" customHeight="false" outlineLevel="0" collapsed="false">
      <c r="A19" s="1" t="n">
        <v>16</v>
      </c>
      <c r="B19" s="1" t="n">
        <f aca="false">Tranches!Q42</f>
        <v>0</v>
      </c>
      <c r="C19" s="1" t="n">
        <f aca="false">Tranches!W42</f>
        <v>0</v>
      </c>
      <c r="D19" s="1" t="n">
        <f aca="false">Tranches!AC42</f>
        <v>0</v>
      </c>
      <c r="E19" s="1" t="n">
        <f aca="false">Tranches!AL42</f>
        <v>2629443.95143694</v>
      </c>
      <c r="F19" s="1" t="n">
        <f aca="false">Tranches!K42</f>
        <v>3155524.17096121</v>
      </c>
      <c r="G19" s="1" t="n">
        <f aca="false">SUM(B19:E19)</f>
        <v>2629443.95143694</v>
      </c>
      <c r="H19" s="1" t="n">
        <f aca="false">F19-G19</f>
        <v>526080.219524272</v>
      </c>
      <c r="J19" s="1" t="n">
        <v>16</v>
      </c>
      <c r="K19" s="4" t="n">
        <f aca="false">((SUM(B19:E19))/(Tranches!O41+Tranches!U41+Tranches!AA41+IF(E19=0,0,Tranches!AG41)))</f>
        <v>0.09</v>
      </c>
      <c r="L19" s="17" t="n">
        <f aca="false">N19-M19-K19</f>
        <v>0.01</v>
      </c>
      <c r="M19" s="18" t="n">
        <v>0</v>
      </c>
      <c r="N19" s="18" t="n">
        <f aca="false">Tranches!$C$3</f>
        <v>0.1</v>
      </c>
      <c r="O19" s="1" t="n">
        <f aca="false">H19/Tranches!E41</f>
        <v>0.0158381359631868</v>
      </c>
      <c r="Q19" s="1" t="n">
        <v>16</v>
      </c>
      <c r="R19" s="18" t="n">
        <f aca="false">N19</f>
        <v>0.1</v>
      </c>
      <c r="S19" s="18" t="n">
        <v>0.01</v>
      </c>
      <c r="T19" s="4" t="n">
        <f aca="false">K19</f>
        <v>0.09</v>
      </c>
    </row>
    <row r="20" customFormat="false" ht="12.75" hidden="false" customHeight="false" outlineLevel="0" collapsed="false">
      <c r="A20" s="1" t="n">
        <v>17</v>
      </c>
      <c r="B20" s="1" t="n">
        <f aca="false">Tranches!Q43</f>
        <v>0</v>
      </c>
      <c r="C20" s="1" t="n">
        <f aca="false">Tranches!W43</f>
        <v>0</v>
      </c>
      <c r="D20" s="1" t="n">
        <f aca="false">Tranches!AC43</f>
        <v>0</v>
      </c>
      <c r="E20" s="1" t="n">
        <f aca="false">Tranches!AL43</f>
        <v>2347583.18135083</v>
      </c>
      <c r="F20" s="1" t="n">
        <f aca="false">Tranches!K43</f>
        <v>2858004.46920365</v>
      </c>
      <c r="G20" s="1" t="n">
        <f aca="false">SUM(B20:E20)</f>
        <v>2347583.18135083</v>
      </c>
      <c r="H20" s="1" t="n">
        <f aca="false">F20-G20</f>
        <v>510421.287852821</v>
      </c>
      <c r="J20" s="1" t="n">
        <v>17</v>
      </c>
      <c r="K20" s="4" t="n">
        <f aca="false">((SUM(B20:E20))/(Tranches!O42+Tranches!U42+Tranches!AA42+IF(E20=0,0,Tranches!AG42)))</f>
        <v>0.09</v>
      </c>
      <c r="L20" s="17" t="n">
        <f aca="false">N20-M20-K20</f>
        <v>0.01</v>
      </c>
      <c r="M20" s="18" t="n">
        <v>0</v>
      </c>
      <c r="N20" s="18" t="n">
        <f aca="false">Tranches!$C$3</f>
        <v>0.1</v>
      </c>
      <c r="O20" s="1" t="n">
        <f aca="false">H20/Tranches!E42</f>
        <v>0.0169663913645066</v>
      </c>
      <c r="Q20" s="1" t="n">
        <v>17</v>
      </c>
      <c r="R20" s="18" t="n">
        <f aca="false">N20</f>
        <v>0.1</v>
      </c>
      <c r="S20" s="18" t="n">
        <v>0.01</v>
      </c>
      <c r="T20" s="4" t="n">
        <f aca="false">K20</f>
        <v>0.09</v>
      </c>
    </row>
    <row r="21" customFormat="false" ht="12.75" hidden="false" customHeight="false" outlineLevel="0" collapsed="false">
      <c r="A21" s="1" t="n">
        <v>18</v>
      </c>
      <c r="B21" s="1" t="n">
        <f aca="false">Tranches!Q44</f>
        <v>0</v>
      </c>
      <c r="C21" s="1" t="n">
        <f aca="false">Tranches!W44</f>
        <v>0</v>
      </c>
      <c r="D21" s="1" t="n">
        <f aca="false">Tranches!AC44</f>
        <v>0</v>
      </c>
      <c r="E21" s="1" t="n">
        <f aca="false">Tranches!AL44</f>
        <v>2081423.82907031</v>
      </c>
      <c r="F21" s="1" t="n">
        <f aca="false">Tranches!K44</f>
        <v>2577058.48624088</v>
      </c>
      <c r="G21" s="1" t="n">
        <f aca="false">SUM(B21:E21)</f>
        <v>2081423.82907031</v>
      </c>
      <c r="H21" s="1" t="n">
        <f aca="false">F21-G21</f>
        <v>495634.65717057</v>
      </c>
      <c r="J21" s="1" t="n">
        <v>18</v>
      </c>
      <c r="K21" s="4" t="n">
        <f aca="false">((SUM(B21:E21))/(Tranches!O43+Tranches!U43+Tranches!AA43+IF(E21=0,0,Tranches!AG43)))</f>
        <v>0.09</v>
      </c>
      <c r="L21" s="17" t="n">
        <f aca="false">N21-M21-K21</f>
        <v>0.01</v>
      </c>
      <c r="M21" s="18" t="n">
        <v>0</v>
      </c>
      <c r="N21" s="18" t="n">
        <f aca="false">Tranches!$C$3</f>
        <v>0.1</v>
      </c>
      <c r="O21" s="1" t="n">
        <f aca="false">H21/Tranches!E43</f>
        <v>0.0182709444440614</v>
      </c>
      <c r="Q21" s="1" t="n">
        <v>18</v>
      </c>
      <c r="R21" s="18" t="n">
        <f aca="false">N21</f>
        <v>0.1</v>
      </c>
      <c r="S21" s="18" t="n">
        <v>0.01</v>
      </c>
      <c r="T21" s="4" t="n">
        <f aca="false">K21</f>
        <v>0.09</v>
      </c>
    </row>
    <row r="22" customFormat="false" ht="12.75" hidden="false" customHeight="false" outlineLevel="0" collapsed="false">
      <c r="A22" s="1" t="n">
        <v>19</v>
      </c>
      <c r="B22" s="1" t="n">
        <f aca="false">Tranches!Q45</f>
        <v>0</v>
      </c>
      <c r="C22" s="1" t="n">
        <f aca="false">Tranches!W45</f>
        <v>0</v>
      </c>
      <c r="D22" s="1" t="n">
        <f aca="false">Tranches!AC45</f>
        <v>0</v>
      </c>
      <c r="E22" s="1" t="n">
        <f aca="false">Tranches!AL45</f>
        <v>1829879.50726805</v>
      </c>
      <c r="F22" s="1" t="n">
        <f aca="false">Tranches!K45</f>
        <v>2311539.47989405</v>
      </c>
      <c r="G22" s="1" t="n">
        <f aca="false">SUM(B22:E22)</f>
        <v>1829879.50726805</v>
      </c>
      <c r="H22" s="1" t="n">
        <f aca="false">F22-G22</f>
        <v>481659.972626001</v>
      </c>
      <c r="J22" s="1" t="n">
        <v>19</v>
      </c>
      <c r="K22" s="4" t="n">
        <f aca="false">((SUM(B22:E22))/(Tranches!O44+Tranches!U44+Tranches!AA44+IF(E22=0,0,Tranches!AG44)))</f>
        <v>0.09</v>
      </c>
      <c r="L22" s="17" t="n">
        <f aca="false">N22-M22-K22</f>
        <v>0.01</v>
      </c>
      <c r="M22" s="18" t="n">
        <v>0</v>
      </c>
      <c r="N22" s="18" t="n">
        <f aca="false">Tranches!$C$3</f>
        <v>0.1</v>
      </c>
      <c r="O22" s="1" t="n">
        <f aca="false">H22/Tranches!E44</f>
        <v>0.0197953345800382</v>
      </c>
      <c r="Q22" s="1" t="n">
        <v>19</v>
      </c>
      <c r="R22" s="18" t="n">
        <f aca="false">N22</f>
        <v>0.1</v>
      </c>
      <c r="S22" s="18" t="n">
        <v>0.01</v>
      </c>
      <c r="T22" s="4" t="n">
        <f aca="false">K22</f>
        <v>0.09</v>
      </c>
    </row>
    <row r="23" customFormat="false" ht="12.75" hidden="false" customHeight="false" outlineLevel="0" collapsed="false">
      <c r="A23" s="1" t="n">
        <v>20</v>
      </c>
      <c r="B23" s="1" t="n">
        <f aca="false">Tranches!Q46</f>
        <v>0</v>
      </c>
      <c r="C23" s="1" t="n">
        <f aca="false">Tranches!W46</f>
        <v>0</v>
      </c>
      <c r="D23" s="1" t="n">
        <f aca="false">Tranches!AC46</f>
        <v>0</v>
      </c>
      <c r="E23" s="1" t="n">
        <f aca="false">Tranches!AL46</f>
        <v>1591932.63924357</v>
      </c>
      <c r="F23" s="1" t="n">
        <f aca="false">Tranches!K46</f>
        <v>2060373.34142377</v>
      </c>
      <c r="G23" s="1" t="n">
        <f aca="false">SUM(B23:E23)</f>
        <v>1591932.63924357</v>
      </c>
      <c r="H23" s="1" t="n">
        <f aca="false">F23-G23</f>
        <v>468440.702180196</v>
      </c>
      <c r="J23" s="1" t="n">
        <v>20</v>
      </c>
      <c r="K23" s="4" t="n">
        <f aca="false">((SUM(B23:E23))/(Tranches!O45+Tranches!U45+Tranches!AA45+IF(E23=0,0,Tranches!AG45)))</f>
        <v>0.09</v>
      </c>
      <c r="L23" s="17" t="n">
        <f aca="false">N23-M23-K23</f>
        <v>0.01</v>
      </c>
      <c r="M23" s="18" t="n">
        <v>0</v>
      </c>
      <c r="N23" s="18" t="n">
        <f aca="false">Tranches!$C$3</f>
        <v>0.1</v>
      </c>
      <c r="O23" s="1" t="n">
        <f aca="false">H23/Tranches!E45</f>
        <v>0.0215989334614312</v>
      </c>
      <c r="Q23" s="1" t="n">
        <v>20</v>
      </c>
      <c r="R23" s="18" t="n">
        <f aca="false">N23</f>
        <v>0.1</v>
      </c>
      <c r="S23" s="18" t="n">
        <v>0.01</v>
      </c>
      <c r="T23" s="4" t="n">
        <f aca="false">K23</f>
        <v>0.09</v>
      </c>
    </row>
    <row r="24" customFormat="false" ht="12.75" hidden="false" customHeight="false" outlineLevel="0" collapsed="false">
      <c r="A24" s="1" t="n">
        <v>21</v>
      </c>
      <c r="B24" s="1" t="n">
        <f aca="false">Tranches!Q47</f>
        <v>0</v>
      </c>
      <c r="C24" s="1" t="n">
        <f aca="false">Tranches!W47</f>
        <v>0</v>
      </c>
      <c r="D24" s="1" t="n">
        <f aca="false">Tranches!AC47</f>
        <v>0</v>
      </c>
      <c r="E24" s="1" t="n">
        <f aca="false">Tranches!AL47</f>
        <v>1366630.12434457</v>
      </c>
      <c r="F24" s="1" t="n">
        <f aca="false">Tranches!K47</f>
        <v>1822554.02014149</v>
      </c>
      <c r="G24" s="1" t="n">
        <f aca="false">SUM(B24:E24)</f>
        <v>1366630.12434457</v>
      </c>
      <c r="H24" s="1" t="n">
        <f aca="false">F24-G24</f>
        <v>455923.895796918</v>
      </c>
      <c r="J24" s="1" t="n">
        <v>21</v>
      </c>
      <c r="K24" s="4" t="n">
        <f aca="false">((SUM(B24:E24))/(Tranches!O46+Tranches!U46+Tranches!AA46+IF(E24=0,0,Tranches!AG46)))</f>
        <v>0.09</v>
      </c>
      <c r="L24" s="17" t="n">
        <f aca="false">N24-M24-K24</f>
        <v>0.01</v>
      </c>
      <c r="M24" s="18" t="n">
        <v>0</v>
      </c>
      <c r="N24" s="18" t="n">
        <f aca="false">Tranches!$C$3</f>
        <v>0.1</v>
      </c>
      <c r="O24" s="1" t="n">
        <f aca="false">H24/Tranches!E46</f>
        <v>0.0237648758950611</v>
      </c>
      <c r="Q24" s="1" t="n">
        <v>21</v>
      </c>
      <c r="R24" s="18" t="n">
        <f aca="false">N24</f>
        <v>0.1</v>
      </c>
      <c r="S24" s="18" t="n">
        <v>0.01</v>
      </c>
      <c r="T24" s="4" t="n">
        <f aca="false">K24</f>
        <v>0.09</v>
      </c>
    </row>
    <row r="25" customFormat="false" ht="12.75" hidden="false" customHeight="false" outlineLevel="0" collapsed="false">
      <c r="A25" s="1" t="n">
        <v>22</v>
      </c>
      <c r="B25" s="1" t="n">
        <f aca="false">Tranches!Q48</f>
        <v>0</v>
      </c>
      <c r="C25" s="1" t="n">
        <f aca="false">Tranches!W48</f>
        <v>0</v>
      </c>
      <c r="D25" s="1" t="n">
        <f aca="false">Tranches!AC48</f>
        <v>0</v>
      </c>
      <c r="E25" s="1" t="n">
        <f aca="false">Tranches!AL48</f>
        <v>1153079.35166952</v>
      </c>
      <c r="F25" s="1" t="n">
        <f aca="false">Tranches!K48</f>
        <v>1597139.31565116</v>
      </c>
      <c r="G25" s="1" t="n">
        <f aca="false">SUM(B25:E25)</f>
        <v>1153079.35166952</v>
      </c>
      <c r="H25" s="1" t="n">
        <f aca="false">F25-G25</f>
        <v>444059.963981637</v>
      </c>
      <c r="J25" s="1" t="n">
        <v>22</v>
      </c>
      <c r="K25" s="4" t="n">
        <f aca="false">((SUM(B25:E25))/(Tranches!O47+Tranches!U47+Tranches!AA47+IF(E25=0,0,Tranches!AG47)))</f>
        <v>0.09</v>
      </c>
      <c r="L25" s="17" t="n">
        <f aca="false">N25-M25-K25</f>
        <v>0.01</v>
      </c>
      <c r="M25" s="18" t="n">
        <v>0</v>
      </c>
      <c r="N25" s="18" t="n">
        <f aca="false">Tranches!$C$3</f>
        <v>0.1</v>
      </c>
      <c r="O25" s="1" t="n">
        <f aca="false">H25/Tranches!E47</f>
        <v>0.0264132854065122</v>
      </c>
      <c r="Q25" s="1" t="n">
        <v>22</v>
      </c>
      <c r="R25" s="18" t="n">
        <f aca="false">N25</f>
        <v>0.1</v>
      </c>
      <c r="S25" s="18" t="n">
        <v>0.01</v>
      </c>
      <c r="T25" s="4" t="n">
        <f aca="false">K25</f>
        <v>0.09</v>
      </c>
    </row>
    <row r="26" customFormat="false" ht="12.75" hidden="false" customHeight="false" outlineLevel="0" collapsed="false">
      <c r="A26" s="1" t="n">
        <v>23</v>
      </c>
      <c r="B26" s="1" t="n">
        <f aca="false">Tranches!Q49</f>
        <v>0</v>
      </c>
      <c r="C26" s="1" t="n">
        <f aca="false">Tranches!W49</f>
        <v>0</v>
      </c>
      <c r="D26" s="1" t="n">
        <f aca="false">Tranches!AC49</f>
        <v>0</v>
      </c>
      <c r="E26" s="1" t="n">
        <f aca="false">Tranches!AL49</f>
        <v>950444.577244451</v>
      </c>
      <c r="F26" s="1" t="n">
        <f aca="false">Tranches!K49</f>
        <v>1383247.05375803</v>
      </c>
      <c r="G26" s="1" t="n">
        <f aca="false">SUM(B26:E26)</f>
        <v>950444.577244451</v>
      </c>
      <c r="H26" s="1" t="n">
        <f aca="false">F26-G26</f>
        <v>432802.476513578</v>
      </c>
      <c r="J26" s="1" t="n">
        <v>23</v>
      </c>
      <c r="K26" s="4" t="n">
        <f aca="false">((SUM(B26:E26))/(Tranches!O48+Tranches!U48+Tranches!AA48+IF(E26=0,0,Tranches!AG48)))</f>
        <v>0.09</v>
      </c>
      <c r="L26" s="17" t="n">
        <f aca="false">N26-M26-K26</f>
        <v>0.01</v>
      </c>
      <c r="M26" s="18" t="n">
        <v>0</v>
      </c>
      <c r="N26" s="18" t="n">
        <f aca="false">Tranches!$C$3</f>
        <v>0.1</v>
      </c>
      <c r="O26" s="1" t="n">
        <f aca="false">H26/Tranches!E48</f>
        <v>0.0297244336484106</v>
      </c>
      <c r="Q26" s="1" t="n">
        <v>23</v>
      </c>
      <c r="R26" s="18" t="n">
        <f aca="false">N26</f>
        <v>0.1</v>
      </c>
      <c r="S26" s="18" t="n">
        <v>0.01</v>
      </c>
      <c r="T26" s="4" t="n">
        <f aca="false">K26</f>
        <v>0.09</v>
      </c>
    </row>
    <row r="27" customFormat="false" ht="12.75" hidden="false" customHeight="false" outlineLevel="0" collapsed="false">
      <c r="A27" s="1" t="n">
        <v>24</v>
      </c>
      <c r="B27" s="1" t="n">
        <f aca="false">Tranches!Q50</f>
        <v>0</v>
      </c>
      <c r="C27" s="1" t="n">
        <f aca="false">Tranches!W50</f>
        <v>0</v>
      </c>
      <c r="D27" s="1" t="n">
        <f aca="false">Tranches!AC50</f>
        <v>0</v>
      </c>
      <c r="E27" s="1" t="n">
        <f aca="false">Tranches!AL50</f>
        <v>757943.706771956</v>
      </c>
      <c r="F27" s="1" t="n">
        <f aca="false">Tranches!K50</f>
        <v>1180051.69048151</v>
      </c>
      <c r="G27" s="1" t="n">
        <f aca="false">SUM(B27:E27)</f>
        <v>757943.706771956</v>
      </c>
      <c r="H27" s="1" t="n">
        <f aca="false">F27-G27</f>
        <v>422107.983709551</v>
      </c>
      <c r="J27" s="1" t="n">
        <v>24</v>
      </c>
      <c r="K27" s="4" t="n">
        <f aca="false">((SUM(B27:E27))/(Tranches!O49+Tranches!U49+Tranches!AA49+IF(E27=0,0,Tranches!AG49)))</f>
        <v>0.09</v>
      </c>
      <c r="L27" s="17" t="n">
        <f aca="false">N27-M27-K27</f>
        <v>0.01</v>
      </c>
      <c r="M27" s="18" t="n">
        <v>0</v>
      </c>
      <c r="N27" s="18" t="n">
        <f aca="false">Tranches!$C$3</f>
        <v>0.1</v>
      </c>
      <c r="O27" s="1" t="n">
        <f aca="false">H27/Tranches!E49</f>
        <v>0.0339817812862459</v>
      </c>
      <c r="Q27" s="1" t="n">
        <v>24</v>
      </c>
      <c r="R27" s="18" t="n">
        <f aca="false">N27</f>
        <v>0.1</v>
      </c>
      <c r="S27" s="18" t="n">
        <v>0.01</v>
      </c>
      <c r="T27" s="4" t="n">
        <f aca="false">K27</f>
        <v>0.09</v>
      </c>
    </row>
    <row r="28" customFormat="false" ht="12.75" hidden="false" customHeight="false" outlineLevel="0" collapsed="false">
      <c r="A28" s="1" t="n">
        <v>25</v>
      </c>
      <c r="B28" s="1" t="n">
        <f aca="false">Tranches!Q51</f>
        <v>0</v>
      </c>
      <c r="C28" s="1" t="n">
        <f aca="false">Tranches!W51</f>
        <v>0</v>
      </c>
      <c r="D28" s="1" t="n">
        <f aca="false">Tranches!AC51</f>
        <v>0</v>
      </c>
      <c r="E28" s="1" t="n">
        <f aca="false">Tranches!AL51</f>
        <v>574845.578797343</v>
      </c>
      <c r="F28" s="1" t="n">
        <f aca="false">Tranches!K51</f>
        <v>986781.444286082</v>
      </c>
      <c r="G28" s="1" t="n">
        <f aca="false">SUM(B28:E28)</f>
        <v>574845.578797343</v>
      </c>
      <c r="H28" s="1" t="n">
        <f aca="false">F28-G28</f>
        <v>411935.865488739</v>
      </c>
      <c r="J28" s="1" t="n">
        <v>25</v>
      </c>
      <c r="K28" s="4" t="n">
        <f aca="false">((SUM(B28:E28))/(Tranches!O50+Tranches!U50+Tranches!AA50+IF(E28=0,0,Tranches!AG50)))</f>
        <v>0.09</v>
      </c>
      <c r="L28" s="17" t="n">
        <f aca="false">N28-M28-K28</f>
        <v>0.01</v>
      </c>
      <c r="M28" s="18" t="n">
        <v>0</v>
      </c>
      <c r="N28" s="18" t="n">
        <f aca="false">Tranches!$C$3</f>
        <v>0.1</v>
      </c>
      <c r="O28" s="1" t="n">
        <f aca="false">H28/Tranches!E50</f>
        <v>0.0396581304280026</v>
      </c>
      <c r="Q28" s="1" t="n">
        <v>25</v>
      </c>
      <c r="R28" s="18" t="n">
        <f aca="false">N28</f>
        <v>0.1</v>
      </c>
      <c r="S28" s="18" t="n">
        <v>0.01</v>
      </c>
      <c r="T28" s="4" t="n">
        <f aca="false">K28</f>
        <v>0.09</v>
      </c>
    </row>
    <row r="29" customFormat="false" ht="12.75" hidden="false" customHeight="false" outlineLevel="0" collapsed="false">
      <c r="A29" s="1" t="n">
        <v>26</v>
      </c>
      <c r="B29" s="1" t="n">
        <f aca="false">Tranches!Q52</f>
        <v>0</v>
      </c>
      <c r="C29" s="1" t="n">
        <f aca="false">Tranches!W52</f>
        <v>0</v>
      </c>
      <c r="D29" s="1" t="n">
        <f aca="false">Tranches!AC52</f>
        <v>0</v>
      </c>
      <c r="E29" s="1" t="n">
        <f aca="false">Tranches!AL52</f>
        <v>400467.956528303</v>
      </c>
      <c r="F29" s="1" t="n">
        <f aca="false">Tranches!K52</f>
        <v>802716.176335428</v>
      </c>
      <c r="G29" s="1" t="n">
        <f aca="false">SUM(B29:E29)</f>
        <v>400467.956528303</v>
      </c>
      <c r="H29" s="1" t="n">
        <f aca="false">F29-G29</f>
        <v>402248.219807125</v>
      </c>
      <c r="J29" s="1" t="n">
        <v>26</v>
      </c>
      <c r="K29" s="4" t="n">
        <f aca="false">((SUM(B29:E29))/(Tranches!O51+Tranches!U51+Tranches!AA51+IF(E29=0,0,Tranches!AG51)))</f>
        <v>0.09</v>
      </c>
      <c r="L29" s="17" t="n">
        <f aca="false">N29-M29-K29</f>
        <v>0.01</v>
      </c>
      <c r="M29" s="18" t="n">
        <v>0</v>
      </c>
      <c r="N29" s="18" t="n">
        <f aca="false">Tranches!$C$3</f>
        <v>0.1</v>
      </c>
      <c r="O29" s="1" t="n">
        <f aca="false">H29/Tranches!E51</f>
        <v>0.0476053454611194</v>
      </c>
      <c r="Q29" s="1" t="n">
        <v>26</v>
      </c>
      <c r="R29" s="18" t="n">
        <f aca="false">N29</f>
        <v>0.1</v>
      </c>
      <c r="S29" s="18" t="n">
        <v>0.01</v>
      </c>
      <c r="T29" s="4" t="n">
        <f aca="false">K29</f>
        <v>0.09</v>
      </c>
    </row>
    <row r="30" customFormat="false" ht="12.75" hidden="false" customHeight="false" outlineLevel="0" collapsed="false">
      <c r="A30" s="1" t="n">
        <v>27</v>
      </c>
      <c r="B30" s="1" t="n">
        <f aca="false">Tranches!Q53</f>
        <v>0</v>
      </c>
      <c r="C30" s="1" t="n">
        <f aca="false">Tranches!W53</f>
        <v>0</v>
      </c>
      <c r="D30" s="1" t="n">
        <f aca="false">Tranches!AC53</f>
        <v>0</v>
      </c>
      <c r="E30" s="1" t="n">
        <f aca="false">Tranches!AL53</f>
        <v>234176.708366726</v>
      </c>
      <c r="F30" s="1" t="n">
        <f aca="false">Tranches!K53</f>
        <v>627186.525498208</v>
      </c>
      <c r="G30" s="1" t="n">
        <f aca="false">SUM(B30:E30)</f>
        <v>234176.708366726</v>
      </c>
      <c r="H30" s="1" t="n">
        <f aca="false">F30-G30</f>
        <v>393009.817131482</v>
      </c>
      <c r="J30" s="1" t="n">
        <v>27</v>
      </c>
      <c r="K30" s="4" t="n">
        <f aca="false">((SUM(B30:E30))/(Tranches!O52+Tranches!U52+Tranches!AA52+IF(E30=0,0,Tranches!AG52)))</f>
        <v>0.09</v>
      </c>
      <c r="L30" s="17" t="n">
        <f aca="false">N30-M30-K30</f>
        <v>0.01</v>
      </c>
      <c r="M30" s="18" t="n">
        <v>0</v>
      </c>
      <c r="N30" s="18" t="n">
        <f aca="false">Tranches!$C$3</f>
        <v>0.1</v>
      </c>
      <c r="O30" s="1" t="n">
        <f aca="false">H30/Tranches!E52</f>
        <v>0.0595292327076588</v>
      </c>
      <c r="Q30" s="1" t="n">
        <v>27</v>
      </c>
      <c r="R30" s="18" t="n">
        <f aca="false">N30</f>
        <v>0.1</v>
      </c>
      <c r="S30" s="18" t="n">
        <v>0.01</v>
      </c>
      <c r="T30" s="4" t="n">
        <f aca="false">K30</f>
        <v>0.09</v>
      </c>
    </row>
    <row r="31" customFormat="false" ht="12.75" hidden="false" customHeight="false" outlineLevel="0" collapsed="false">
      <c r="A31" s="1" t="n">
        <v>28</v>
      </c>
      <c r="B31" s="1" t="n">
        <f aca="false">Tranches!Q54</f>
        <v>0</v>
      </c>
      <c r="C31" s="1" t="n">
        <f aca="false">Tranches!W54</f>
        <v>0</v>
      </c>
      <c r="D31" s="1" t="n">
        <f aca="false">Tranches!AC54</f>
        <v>0</v>
      </c>
      <c r="E31" s="1" t="n">
        <f aca="false">Tranches!AL54</f>
        <v>75387.4064138907</v>
      </c>
      <c r="F31" s="1" t="n">
        <f aca="false">Tranches!K54</f>
        <v>459575.595659104</v>
      </c>
      <c r="G31" s="1" t="n">
        <f aca="false">SUM(B31:E31)</f>
        <v>75387.4064138907</v>
      </c>
      <c r="H31" s="1" t="n">
        <f aca="false">F31-G31</f>
        <v>384188.189245214</v>
      </c>
      <c r="J31" s="1" t="n">
        <v>28</v>
      </c>
      <c r="K31" s="4" t="n">
        <f aca="false">((SUM(B31:E31))/(Tranches!O53+Tranches!U53+Tranches!AA53+IF(E31=0,0,Tranches!AG53)))</f>
        <v>0.09</v>
      </c>
      <c r="L31" s="17" t="n">
        <f aca="false">N31-M31-K31</f>
        <v>0.01</v>
      </c>
      <c r="M31" s="18" t="n">
        <v>0</v>
      </c>
      <c r="N31" s="18" t="n">
        <f aca="false">Tranches!$C$3</f>
        <v>0.1</v>
      </c>
      <c r="O31" s="1" t="n">
        <f aca="false">H31/Tranches!E53</f>
        <v>0.0794164840845205</v>
      </c>
      <c r="Q31" s="1" t="n">
        <v>28</v>
      </c>
      <c r="R31" s="18" t="n">
        <f aca="false">N31</f>
        <v>0.1</v>
      </c>
      <c r="S31" s="18" t="n">
        <v>0.01</v>
      </c>
      <c r="T31" s="4" t="n">
        <f aca="false">K31</f>
        <v>0.09</v>
      </c>
    </row>
    <row r="32" customFormat="false" ht="12.75" hidden="false" customHeight="false" outlineLevel="0" collapsed="false">
      <c r="A32" s="1" t="n">
        <v>29</v>
      </c>
      <c r="B32" s="1" t="n">
        <f aca="false">Tranches!Q55</f>
        <v>0</v>
      </c>
      <c r="C32" s="1" t="n">
        <f aca="false">Tranches!W55</f>
        <v>0</v>
      </c>
      <c r="D32" s="1" t="n">
        <f aca="false">Tranches!AC55</f>
        <v>0</v>
      </c>
      <c r="E32" s="1" t="n">
        <f aca="false">Tranches!AL55</f>
        <v>0</v>
      </c>
      <c r="F32" s="1" t="n">
        <f aca="false">Tranches!K55</f>
        <v>299327.139236408</v>
      </c>
      <c r="G32" s="1" t="n">
        <f aca="false">SUM(B32:E32)</f>
        <v>0</v>
      </c>
      <c r="H32" s="1" t="n">
        <f aca="false">F32-G32</f>
        <v>299327.139236408</v>
      </c>
      <c r="J32" s="1" t="n">
        <v>29</v>
      </c>
      <c r="K32" s="4" t="e">
        <f aca="false">((SUM(B32:E32))/(Tranches!O54+Tranches!U54+Tranches!AA54+IF(E32=0,0,Tranches!AG54)))</f>
        <v>#DIV/0!</v>
      </c>
      <c r="L32" s="17" t="e">
        <f aca="false">N32-M32-K32</f>
        <v>#DIV/0!</v>
      </c>
      <c r="M32" s="18" t="n">
        <v>0</v>
      </c>
      <c r="N32" s="18" t="n">
        <f aca="false">Tranches!$C$3</f>
        <v>0.1</v>
      </c>
      <c r="O32" s="1" t="n">
        <f aca="false">H32/Tranches!E54</f>
        <v>0.095</v>
      </c>
      <c r="Q32" s="1" t="n">
        <v>29</v>
      </c>
      <c r="R32" s="18" t="n">
        <f aca="false">N32</f>
        <v>0.1</v>
      </c>
      <c r="S32" s="18" t="n">
        <v>0.01</v>
      </c>
      <c r="T32" s="4" t="e">
        <f aca="false">K32</f>
        <v>#DIV/0!</v>
      </c>
    </row>
    <row r="33" customFormat="false" ht="12.75" hidden="false" customHeight="false" outlineLevel="0" collapsed="false">
      <c r="A33" s="1" t="n">
        <v>30</v>
      </c>
      <c r="B33" s="1" t="n">
        <f aca="false">Tranches!Q56</f>
        <v>0</v>
      </c>
      <c r="C33" s="1" t="n">
        <f aca="false">Tranches!W56</f>
        <v>0</v>
      </c>
      <c r="D33" s="1" t="n">
        <f aca="false">Tranches!AC56</f>
        <v>0</v>
      </c>
      <c r="E33" s="1" t="n">
        <f aca="false">Tranches!AL56</f>
        <v>0</v>
      </c>
      <c r="F33" s="1" t="n">
        <f aca="false">Tranches!K56</f>
        <v>145976.144336278</v>
      </c>
      <c r="G33" s="1" t="n">
        <f aca="false">SUM(B33:E33)</f>
        <v>0</v>
      </c>
      <c r="H33" s="1" t="n">
        <f aca="false">F33-G33</f>
        <v>145976.144336278</v>
      </c>
      <c r="J33" s="1" t="n">
        <v>30</v>
      </c>
      <c r="K33" s="4" t="e">
        <f aca="false">((SUM(B33:E33))/(Tranches!O55+Tranches!U55+Tranches!AA55+IF(E33=0,0,Tranches!AG55)))</f>
        <v>#DIV/0!</v>
      </c>
      <c r="L33" s="17" t="e">
        <f aca="false">N33-M33-K33</f>
        <v>#DIV/0!</v>
      </c>
      <c r="M33" s="18" t="n">
        <v>0</v>
      </c>
      <c r="N33" s="18" t="n">
        <f aca="false">Tranches!$C$3</f>
        <v>0.1</v>
      </c>
      <c r="O33" s="1" t="n">
        <f aca="false">H33/Tranches!E55</f>
        <v>0.095</v>
      </c>
      <c r="Q33" s="1" t="n">
        <v>30</v>
      </c>
      <c r="R33" s="18" t="n">
        <f aca="false">N33</f>
        <v>0.1</v>
      </c>
      <c r="S33" s="18" t="n">
        <v>0.01</v>
      </c>
      <c r="T33" s="4" t="e">
        <f aca="false">K33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1" activeCellId="0" sqref="F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2.7"/>
    <col collapsed="false" customWidth="true" hidden="false" outlineLevel="0" max="3" min="3" style="1" width="15.85"/>
    <col collapsed="false" customWidth="true" hidden="false" outlineLevel="0" max="4" min="4" style="1" width="11.7"/>
    <col collapsed="false" customWidth="true" hidden="false" outlineLevel="0" max="5" min="5" style="1" width="15.41"/>
    <col collapsed="false" customWidth="true" hidden="false" outlineLevel="0" max="6" min="6" style="1" width="11.7"/>
    <col collapsed="false" customWidth="true" hidden="false" outlineLevel="0" max="8" min="8" style="1" width="12.28"/>
    <col collapsed="false" customWidth="true" hidden="false" outlineLevel="0" max="9" min="9" style="1" width="12.56"/>
  </cols>
  <sheetData>
    <row r="1" customFormat="false" ht="12.75" hidden="false" customHeight="false" outlineLevel="0" collapsed="false">
      <c r="A1" s="1" t="s">
        <v>50</v>
      </c>
      <c r="B1" s="4" t="n">
        <v>0.095</v>
      </c>
      <c r="C1" s="4"/>
      <c r="D1" s="4"/>
      <c r="E1" s="4"/>
      <c r="F1" s="4"/>
    </row>
    <row r="2" customFormat="false" ht="12.75" hidden="false" customHeight="false" outlineLevel="0" collapsed="false">
      <c r="B2" s="19" t="n">
        <v>104000000</v>
      </c>
      <c r="C2" s="19"/>
      <c r="D2" s="19"/>
      <c r="E2" s="19"/>
      <c r="F2" s="19"/>
    </row>
    <row r="3" customFormat="false" ht="12.75" hidden="false" customHeight="false" outlineLevel="0" collapsed="false">
      <c r="H3" s="1" t="s">
        <v>51</v>
      </c>
      <c r="I3" s="1" t="s">
        <v>52</v>
      </c>
    </row>
    <row r="4" customFormat="false" ht="12.75" hidden="false" customHeight="false" outlineLevel="0" collapsed="false">
      <c r="B4" s="1" t="s">
        <v>53</v>
      </c>
      <c r="C4" s="1" t="s">
        <v>54</v>
      </c>
      <c r="E4" s="1" t="s">
        <v>55</v>
      </c>
      <c r="H4" s="20" t="n">
        <f aca="false">-1.5*$B$2</f>
        <v>-156000000</v>
      </c>
      <c r="I4" s="20" t="n">
        <f aca="false">-0.9*$B$2</f>
        <v>-93600000</v>
      </c>
      <c r="K4" s="1" t="s">
        <v>56</v>
      </c>
      <c r="L4" s="1" t="s">
        <v>57</v>
      </c>
    </row>
    <row r="5" customFormat="false" ht="12.75" hidden="false" customHeight="false" outlineLevel="0" collapsed="false">
      <c r="A5" s="1" t="n">
        <v>1</v>
      </c>
      <c r="B5" s="1" t="n">
        <v>0.05</v>
      </c>
      <c r="C5" s="19" t="n">
        <f aca="false">B5*B2</f>
        <v>5200000</v>
      </c>
      <c r="D5" s="4" t="n">
        <f aca="false">$B$1-B5</f>
        <v>0.045</v>
      </c>
      <c r="E5" s="19" t="n">
        <f aca="false">D5*($B$2)</f>
        <v>4680000</v>
      </c>
      <c r="F5" s="19" t="n">
        <f aca="false">C5+E5-I5</f>
        <v>0</v>
      </c>
      <c r="H5" s="20" t="n">
        <f aca="false">GNMA!H27+GNMA!G27</f>
        <v>1872654.91645464</v>
      </c>
      <c r="I5" s="20" t="n">
        <f aca="false">GNMA!I27-GNMA!J27</f>
        <v>9880000</v>
      </c>
      <c r="J5" s="18" t="n">
        <v>5</v>
      </c>
      <c r="K5" s="18" t="n">
        <f aca="false">IRR(H4:H34,0.1)</f>
        <v>-0.0292280846936855</v>
      </c>
      <c r="L5" s="18" t="n">
        <f aca="false">IRR(I4:I34,0.1)</f>
        <v>0.0341534423182592</v>
      </c>
    </row>
    <row r="6" customFormat="false" ht="12.75" hidden="false" customHeight="false" outlineLevel="0" collapsed="false">
      <c r="A6" s="1" t="n">
        <v>2</v>
      </c>
      <c r="B6" s="1" t="n">
        <v>0.05042187644207</v>
      </c>
      <c r="C6" s="21" t="n">
        <f aca="false">B6*($B$2-H5)</f>
        <v>5149452.37515917</v>
      </c>
      <c r="D6" s="4" t="n">
        <f aca="false">$B$1-B6</f>
        <v>0.04457812355793</v>
      </c>
      <c r="E6" s="21" t="n">
        <f aca="false">D6*($B$2-H5)</f>
        <v>4552645.40777764</v>
      </c>
      <c r="F6" s="19" t="n">
        <f aca="false">C6+E6-I6</f>
        <v>0</v>
      </c>
      <c r="H6" s="20" t="n">
        <f aca="false">GNMA!H28+GNMA!G28</f>
        <v>4338968.49641613</v>
      </c>
      <c r="I6" s="20" t="n">
        <f aca="false">GNMA!I28-GNMA!J28</f>
        <v>9702097.78293681</v>
      </c>
      <c r="J6" s="18" t="n">
        <f aca="false">J5-100%</f>
        <v>4</v>
      </c>
      <c r="K6" s="18" t="n">
        <v>0.360462169179297</v>
      </c>
      <c r="L6" s="18" t="n">
        <v>0.230001106357773</v>
      </c>
    </row>
    <row r="7" customFormat="false" ht="12.75" hidden="false" customHeight="false" outlineLevel="0" collapsed="false">
      <c r="A7" s="1" t="n">
        <v>3</v>
      </c>
      <c r="B7" s="1" t="n">
        <v>0.0508817410114296</v>
      </c>
      <c r="C7" s="21" t="n">
        <f aca="false">B7*($B$2-SUM($H$5:H6))</f>
        <v>4975642.85143445</v>
      </c>
      <c r="D7" s="4" t="n">
        <f aca="false">$B$1-B7</f>
        <v>0.0441182589885705</v>
      </c>
      <c r="E7" s="21" t="n">
        <f aca="false">D7*($B$2-SUM($H$5:H6))</f>
        <v>4314252.92434283</v>
      </c>
      <c r="F7" s="19" t="n">
        <f aca="false">C7+E7-I7</f>
        <v>0</v>
      </c>
      <c r="H7" s="20" t="n">
        <f aca="false">GNMA!H29+GNMA!G29</f>
        <v>6309558.34186619</v>
      </c>
      <c r="I7" s="20" t="n">
        <f aca="false">GNMA!I29-GNMA!J29</f>
        <v>9289895.77577728</v>
      </c>
      <c r="J7" s="18" t="n">
        <f aca="false">J6-100%</f>
        <v>3</v>
      </c>
      <c r="K7" s="18" t="n">
        <v>0.28320317421989</v>
      </c>
      <c r="L7" s="18" t="n">
        <v>0.279257320701209</v>
      </c>
    </row>
    <row r="8" customFormat="false" ht="12.75" hidden="false" customHeight="false" outlineLevel="0" collapsed="false">
      <c r="A8" s="1" t="n">
        <v>4</v>
      </c>
      <c r="B8" s="1" t="n">
        <v>0.0514230036917119</v>
      </c>
      <c r="C8" s="21" t="n">
        <f aca="false">B8*($B$2-SUM($H$5:H7))</f>
        <v>4704115.6083396</v>
      </c>
      <c r="D8" s="4" t="n">
        <f aca="false">$B$1-B8</f>
        <v>0.0435769963082881</v>
      </c>
      <c r="E8" s="21" t="n">
        <f aca="false">D8*($B$2-SUM($H$5:H7))</f>
        <v>3986372.12496039</v>
      </c>
      <c r="F8" s="19" t="n">
        <f aca="false">C8+E8-I8</f>
        <v>0</v>
      </c>
      <c r="H8" s="20" t="n">
        <f aca="false">GNMA!H30+GNMA!G30</f>
        <v>6198804.49021766</v>
      </c>
      <c r="I8" s="20" t="n">
        <f aca="false">GNMA!I30-GNMA!J30</f>
        <v>8690487.73329999</v>
      </c>
      <c r="J8" s="18" t="n">
        <f aca="false">J7-100%</f>
        <v>2</v>
      </c>
      <c r="K8" s="18" t="n">
        <v>0.202172838787067</v>
      </c>
      <c r="L8" s="18" t="n">
        <v>0.329228333329515</v>
      </c>
    </row>
    <row r="9" customFormat="false" ht="12.75" hidden="false" customHeight="false" outlineLevel="0" collapsed="false">
      <c r="A9" s="1" t="n">
        <v>5</v>
      </c>
      <c r="B9" s="1" t="n">
        <v>0.0523751137442975</v>
      </c>
      <c r="C9" s="21" t="n">
        <f aca="false">B9*($B$2-SUM($H$5:H8))</f>
        <v>4466550.42053576</v>
      </c>
      <c r="D9" s="4" t="n">
        <f aca="false">$B$1-B9</f>
        <v>0.0426248862557025</v>
      </c>
      <c r="E9" s="21" t="n">
        <f aca="false">D9*($B$2-SUM($H$5:H8))</f>
        <v>3635050.88619355</v>
      </c>
      <c r="F9" s="19" t="n">
        <f aca="false">C9+E9-I9</f>
        <v>0</v>
      </c>
      <c r="H9" s="20" t="n">
        <f aca="false">GNMA!H31+GNMA!G31</f>
        <v>5851018.78425166</v>
      </c>
      <c r="I9" s="20" t="n">
        <f aca="false">GNMA!I31-GNMA!J31</f>
        <v>8101601.30672931</v>
      </c>
      <c r="J9" s="18" t="n">
        <f aca="false">J8-100%</f>
        <v>1</v>
      </c>
      <c r="K9" s="18" t="n">
        <v>0.119343591959023</v>
      </c>
      <c r="L9" s="18" t="n">
        <v>0.379846814053757</v>
      </c>
    </row>
    <row r="10" customFormat="false" ht="12.75" hidden="false" customHeight="false" outlineLevel="0" collapsed="false">
      <c r="A10" s="1" t="n">
        <v>6</v>
      </c>
      <c r="B10" s="1" t="n">
        <v>0.0532592671878425</v>
      </c>
      <c r="C10" s="21" t="n">
        <f aca="false">B10*($B$2-SUM($H$5:H9))</f>
        <v>4230330.0656113</v>
      </c>
      <c r="D10" s="4" t="n">
        <f aca="false">$B$1-B10</f>
        <v>0.0417407328121575</v>
      </c>
      <c r="E10" s="21" t="n">
        <f aca="false">D10*($B$2-SUM($H$5:H9))</f>
        <v>3315424.4566141</v>
      </c>
      <c r="F10" s="19" t="n">
        <f aca="false">C10+E10-I10</f>
        <v>0</v>
      </c>
      <c r="H10" s="20" t="n">
        <f aca="false">GNMA!H32+GNMA!G32</f>
        <v>5524921.06780083</v>
      </c>
      <c r="I10" s="20" t="n">
        <f aca="false">GNMA!I32-GNMA!J32</f>
        <v>7545754.5222254</v>
      </c>
      <c r="J10" s="18" t="n">
        <f aca="false">J9-100%</f>
        <v>0</v>
      </c>
      <c r="K10" s="18" t="n">
        <v>0.0513338271477386</v>
      </c>
      <c r="L10" s="18" t="n">
        <v>0.431050501747459</v>
      </c>
    </row>
    <row r="11" customFormat="false" ht="12.75" hidden="false" customHeight="false" outlineLevel="0" collapsed="false">
      <c r="A11" s="1" t="n">
        <v>7</v>
      </c>
      <c r="B11" s="1" t="n">
        <v>0.0537415632435081</v>
      </c>
      <c r="C11" s="21" t="n">
        <f aca="false">B11*($B$2-SUM($H$5:H10))</f>
        <v>3971720.46161059</v>
      </c>
      <c r="D11" s="4" t="n">
        <f aca="false">$B$1-B11</f>
        <v>0.041258436756492</v>
      </c>
      <c r="E11" s="21" t="n">
        <f aca="false">D11*($B$2-SUM($H$5:H10))</f>
        <v>3049166.55917374</v>
      </c>
      <c r="F11" s="19" t="n">
        <f aca="false">C11+E11-I11</f>
        <v>0</v>
      </c>
      <c r="H11" s="20" t="n">
        <f aca="false">GNMA!H33+GNMA!G33</f>
        <v>5219237.97029758</v>
      </c>
      <c r="I11" s="20" t="n">
        <f aca="false">GNMA!I33-GNMA!J33</f>
        <v>7020887.02078433</v>
      </c>
    </row>
    <row r="12" customFormat="false" ht="12.75" hidden="false" customHeight="false" outlineLevel="0" collapsed="false">
      <c r="A12" s="1" t="n">
        <v>8</v>
      </c>
      <c r="B12" s="1" t="n">
        <v>0.0545824529346762</v>
      </c>
      <c r="C12" s="21" t="n">
        <f aca="false">B12*($B$2-SUM($H$5:H11))</f>
        <v>3748986.8246223</v>
      </c>
      <c r="D12" s="4" t="n">
        <f aca="false">$B$1-B12</f>
        <v>0.0404175470653238</v>
      </c>
      <c r="E12" s="21" t="n">
        <f aca="false">D12*($B$2-SUM($H$5:H11))</f>
        <v>2776072.58898376</v>
      </c>
      <c r="F12" s="19" t="n">
        <f aca="false">C12+E12-I12</f>
        <v>0</v>
      </c>
      <c r="H12" s="20" t="n">
        <f aca="false">GNMA!H34+GNMA!G34</f>
        <v>4932773.47230774</v>
      </c>
      <c r="I12" s="20" t="n">
        <f aca="false">GNMA!I34-GNMA!J34</f>
        <v>6525059.41360606</v>
      </c>
    </row>
    <row r="13" customFormat="false" ht="12.75" hidden="false" customHeight="false" outlineLevel="0" collapsed="false">
      <c r="A13" s="1" t="n">
        <v>9</v>
      </c>
      <c r="B13" s="1" t="n">
        <v>0.0551714368971563</v>
      </c>
      <c r="C13" s="21" t="n">
        <f aca="false">B13*($B$2-SUM($H$5:H12))</f>
        <v>3517292.89109684</v>
      </c>
      <c r="D13" s="4" t="n">
        <f aca="false">$B$1-B13</f>
        <v>0.0398285631028437</v>
      </c>
      <c r="E13" s="21" t="n">
        <f aca="false">D13*($B$2-SUM($H$5:H12))</f>
        <v>2539153.04263998</v>
      </c>
      <c r="F13" s="19" t="n">
        <f aca="false">C13+E13-I13</f>
        <v>0</v>
      </c>
      <c r="H13" s="20" t="n">
        <f aca="false">GNMA!H35+GNMA!G35</f>
        <v>4664404.29672504</v>
      </c>
      <c r="I13" s="20" t="n">
        <f aca="false">GNMA!I35-GNMA!J35</f>
        <v>6056445.93373682</v>
      </c>
    </row>
    <row r="14" customFormat="false" ht="12.75" hidden="false" customHeight="false" outlineLevel="0" collapsed="false">
      <c r="A14" s="1" t="n">
        <v>10</v>
      </c>
      <c r="B14" s="1" t="n">
        <v>0.0557942594141038</v>
      </c>
      <c r="C14" s="21" t="n">
        <f aca="false">B14*($B$2-SUM($H$5:H13))</f>
        <v>3296752.12775527</v>
      </c>
      <c r="D14" s="4" t="n">
        <f aca="false">$B$1-B14</f>
        <v>0.0392057405858962</v>
      </c>
      <c r="E14" s="21" t="n">
        <f aca="false">D14*($B$2-SUM($H$5:H13))</f>
        <v>2316575.39779267</v>
      </c>
      <c r="F14" s="19" t="n">
        <f aca="false">C14+E14-I14</f>
        <v>0</v>
      </c>
      <c r="H14" s="20" t="n">
        <f aca="false">GNMA!H36+GNMA!G36</f>
        <v>4413075.577591</v>
      </c>
      <c r="I14" s="20" t="n">
        <f aca="false">GNMA!I36-GNMA!J36</f>
        <v>5613327.52554794</v>
      </c>
    </row>
    <row r="15" customFormat="false" ht="12.75" hidden="false" customHeight="false" outlineLevel="0" collapsed="false">
      <c r="A15" s="1" t="n">
        <v>11</v>
      </c>
      <c r="B15" s="1" t="n">
        <v>0.0567455253553891</v>
      </c>
      <c r="C15" s="21" t="n">
        <f aca="false">B15*($B$2-SUM($H$5:H14))</f>
        <v>3102537.91243324</v>
      </c>
      <c r="D15" s="4" t="n">
        <f aca="false">$B$1-B15</f>
        <v>0.0382544746446109</v>
      </c>
      <c r="E15" s="21" t="n">
        <f aca="false">D15*($B$2-SUM($H$5:H14))</f>
        <v>2091547.43324356</v>
      </c>
      <c r="F15" s="19" t="n">
        <f aca="false">C15+E15-I15</f>
        <v>0</v>
      </c>
      <c r="H15" s="20" t="n">
        <f aca="false">GNMA!H37+GNMA!G37</f>
        <v>4177796.78991976</v>
      </c>
      <c r="I15" s="20" t="n">
        <f aca="false">GNMA!I37-GNMA!J37</f>
        <v>5194085.3456768</v>
      </c>
    </row>
    <row r="16" customFormat="false" ht="12.75" hidden="false" customHeight="false" outlineLevel="0" collapsed="false">
      <c r="A16" s="1" t="n">
        <v>12</v>
      </c>
      <c r="B16" s="1" t="n">
        <v>0.0573396617187801</v>
      </c>
      <c r="C16" s="21" t="n">
        <f aca="false">B16*($B$2-SUM($H$5:H15))</f>
        <v>2895468.61543704</v>
      </c>
      <c r="D16" s="4" t="n">
        <f aca="false">$B$1-B16</f>
        <v>0.0376603382812199</v>
      </c>
      <c r="E16" s="21" t="n">
        <f aca="false">D16*($B$2-SUM($H$5:H15))</f>
        <v>1901726.03519737</v>
      </c>
      <c r="F16" s="19" t="n">
        <f aca="false">C16+E16-I16</f>
        <v>0</v>
      </c>
      <c r="H16" s="20" t="n">
        <f aca="false">GNMA!H38+GNMA!G38</f>
        <v>3957637.92490626</v>
      </c>
      <c r="I16" s="20" t="n">
        <f aca="false">GNMA!I38-GNMA!J38</f>
        <v>4797194.65063442</v>
      </c>
    </row>
    <row r="17" customFormat="false" ht="12.75" hidden="false" customHeight="false" outlineLevel="0" collapsed="false">
      <c r="A17" s="1" t="n">
        <v>13</v>
      </c>
      <c r="B17" s="1" t="n">
        <v>0.0575642135815617</v>
      </c>
      <c r="C17" s="21" t="n">
        <f aca="false">B17*($B$2-SUM($H$5:H16))</f>
        <v>2678989.44796426</v>
      </c>
      <c r="D17" s="4" t="n">
        <f aca="false">$B$1-B17</f>
        <v>0.0374357864184383</v>
      </c>
      <c r="E17" s="21" t="n">
        <f aca="false">D17*($B$2-SUM($H$5:H16))</f>
        <v>1742229.59980406</v>
      </c>
      <c r="F17" s="19" t="n">
        <f aca="false">C17+E17-I17</f>
        <v>0</v>
      </c>
      <c r="H17" s="20" t="n">
        <f aca="false">GNMA!H39+GNMA!G39</f>
        <v>3751725.89583455</v>
      </c>
      <c r="I17" s="20" t="n">
        <f aca="false">GNMA!I39-GNMA!J39</f>
        <v>4421219.04776832</v>
      </c>
    </row>
    <row r="18" customFormat="false" ht="12.75" hidden="false" customHeight="false" outlineLevel="0" collapsed="false">
      <c r="A18" s="1" t="n">
        <v>14</v>
      </c>
      <c r="B18" s="1" t="n">
        <v>0.0580993849595321</v>
      </c>
      <c r="C18" s="21" t="n">
        <f aca="false">B18*($B$2-SUM($H$5:H17))</f>
        <v>2485922.90077534</v>
      </c>
      <c r="D18" s="4" t="n">
        <f aca="false">$B$1-B18</f>
        <v>0.0369006150404679</v>
      </c>
      <c r="E18" s="21" t="n">
        <f aca="false">D18*($B$2-SUM($H$5:H17))</f>
        <v>1578882.1868887</v>
      </c>
      <c r="F18" s="19" t="n">
        <f aca="false">C18+E18-I18</f>
        <v>0</v>
      </c>
      <c r="H18" s="20" t="n">
        <f aca="false">GNMA!H40+GNMA!G40</f>
        <v>3559241.16088551</v>
      </c>
      <c r="I18" s="20" t="n">
        <f aca="false">GNMA!I40-GNMA!J40</f>
        <v>4064805.08766404</v>
      </c>
    </row>
    <row r="19" customFormat="false" ht="12.75" hidden="false" customHeight="false" outlineLevel="0" collapsed="false">
      <c r="A19" s="1" t="n">
        <v>15</v>
      </c>
      <c r="B19" s="1" t="n">
        <v>0.0582288150065354</v>
      </c>
      <c r="C19" s="21" t="n">
        <f aca="false">B19*($B$2-SUM($H$5:H18))</f>
        <v>2284210.48369192</v>
      </c>
      <c r="D19" s="4" t="n">
        <f aca="false">$B$1-B19</f>
        <v>0.0367711849934646</v>
      </c>
      <c r="E19" s="21" t="n">
        <f aca="false">D19*($B$2-SUM($H$5:H18))</f>
        <v>1442466.69368799</v>
      </c>
      <c r="F19" s="19" t="n">
        <f aca="false">C19+E19-I19</f>
        <v>0</v>
      </c>
      <c r="H19" s="20" t="n">
        <f aca="false">GNMA!H41+GNMA!G41</f>
        <v>3379414.54987265</v>
      </c>
      <c r="I19" s="20" t="n">
        <f aca="false">GNMA!I41-GNMA!J41</f>
        <v>3726677.17737992</v>
      </c>
    </row>
    <row r="20" customFormat="false" ht="12.75" hidden="false" customHeight="false" outlineLevel="0" collapsed="false">
      <c r="A20" s="1" t="n">
        <v>16</v>
      </c>
      <c r="B20" s="1" t="n">
        <v>0.0585726336261897</v>
      </c>
      <c r="C20" s="21" t="n">
        <f aca="false">B20*($B$2-SUM($H$5:H19))</f>
        <v>2099756.65237042</v>
      </c>
      <c r="D20" s="4" t="n">
        <f aca="false">$B$1-B20</f>
        <v>0.0364273663738103</v>
      </c>
      <c r="E20" s="21" t="n">
        <f aca="false">D20*($B$2-SUM($H$5:H19))</f>
        <v>1305876.1427716</v>
      </c>
      <c r="F20" s="19" t="n">
        <f aca="false">C20+E20-I20</f>
        <v>0</v>
      </c>
      <c r="H20" s="20" t="n">
        <f aca="false">GNMA!H42+GNMA!G42</f>
        <v>3211524.28271433</v>
      </c>
      <c r="I20" s="20" t="n">
        <f aca="false">GNMA!I42-GNMA!J42</f>
        <v>3405632.79514201</v>
      </c>
    </row>
    <row r="21" customFormat="false" ht="12.75" hidden="false" customHeight="false" outlineLevel="0" collapsed="false">
      <c r="A21" s="1" t="n">
        <v>17</v>
      </c>
      <c r="B21" s="1" t="n">
        <v>0.0594266242508197</v>
      </c>
      <c r="C21" s="21" t="n">
        <f aca="false">B21*($B$2-SUM($H$5:H20))</f>
        <v>1939521.11584373</v>
      </c>
      <c r="D21" s="4" t="n">
        <f aca="false">$B$1-B21</f>
        <v>0.0355733757491803</v>
      </c>
      <c r="E21" s="21" t="n">
        <f aca="false">D21*($B$2-SUM($H$5:H20))</f>
        <v>1161016.87244042</v>
      </c>
      <c r="F21" s="19" t="n">
        <f aca="false">C21+E21-I21</f>
        <v>0</v>
      </c>
      <c r="H21" s="20" t="n">
        <f aca="false">GNMA!H43+GNMA!G43</f>
        <v>3054893.16818387</v>
      </c>
      <c r="I21" s="20" t="n">
        <f aca="false">GNMA!I43-GNMA!J43</f>
        <v>3100537.98828415</v>
      </c>
    </row>
    <row r="22" customFormat="false" ht="12.75" hidden="false" customHeight="false" outlineLevel="0" collapsed="false">
      <c r="A22" s="1" t="n">
        <v>18</v>
      </c>
      <c r="B22" s="1" t="n">
        <v>0.0596798757422086</v>
      </c>
      <c r="C22" s="21" t="n">
        <f aca="false">B22*($B$2-SUM($H$5:H21))</f>
        <v>1765470.90136755</v>
      </c>
      <c r="D22" s="4" t="n">
        <f aca="false">$B$1-B22</f>
        <v>0.0353201242577914</v>
      </c>
      <c r="E22" s="21" t="n">
        <f aca="false">D22*($B$2-SUM($H$5:H21))</f>
        <v>1044852.23593914</v>
      </c>
      <c r="F22" s="19" t="n">
        <f aca="false">C22+E22-I22</f>
        <v>0</v>
      </c>
      <c r="H22" s="20" t="n">
        <f aca="false">GNMA!H44+GNMA!G44</f>
        <v>2908885.97216793</v>
      </c>
      <c r="I22" s="20" t="n">
        <f aca="false">GNMA!I44-GNMA!J44</f>
        <v>2810323.13730669</v>
      </c>
    </row>
    <row r="23" customFormat="false" ht="12.75" hidden="false" customHeight="false" outlineLevel="0" collapsed="false">
      <c r="A23" s="1" t="n">
        <v>19</v>
      </c>
      <c r="B23" s="1" t="n">
        <v>0.0600740996728127</v>
      </c>
      <c r="C23" s="21" t="n">
        <f aca="false">B23*($B$2-SUM($H$5:H22))</f>
        <v>1602384.26536454</v>
      </c>
      <c r="D23" s="4" t="n">
        <f aca="false">$B$1-B23</f>
        <v>0.0349259003271873</v>
      </c>
      <c r="E23" s="21" t="n">
        <f aca="false">D23*($B$2-SUM($H$5:H22))</f>
        <v>931594.704586191</v>
      </c>
      <c r="F23" s="19" t="n">
        <f aca="false">C23+E23-I23</f>
        <v>0</v>
      </c>
      <c r="H23" s="20" t="n">
        <f aca="false">GNMA!H45+GNMA!G45</f>
        <v>2772906.94531151</v>
      </c>
      <c r="I23" s="20" t="n">
        <f aca="false">GNMA!I45-GNMA!J45</f>
        <v>2533978.96995073</v>
      </c>
    </row>
    <row r="24" customFormat="false" ht="12.75" hidden="false" customHeight="false" outlineLevel="0" collapsed="false">
      <c r="A24" s="1" t="n">
        <v>20</v>
      </c>
      <c r="B24" s="1" t="n">
        <v>0.0609586491353036</v>
      </c>
      <c r="C24" s="21" t="n">
        <f aca="false">B24*($B$2-SUM($H$5:H23))</f>
        <v>1456945.60101975</v>
      </c>
      <c r="D24" s="4" t="n">
        <f aca="false">$B$1-B24</f>
        <v>0.0340413508646964</v>
      </c>
      <c r="E24" s="21" t="n">
        <f aca="false">D24*($B$2-SUM($H$5:H23))</f>
        <v>813607.209126391</v>
      </c>
      <c r="F24" s="19" t="n">
        <f aca="false">C24+E24-I24</f>
        <v>0</v>
      </c>
      <c r="H24" s="20" t="n">
        <f aca="false">GNMA!H46+GNMA!G46</f>
        <v>2646397.50053657</v>
      </c>
      <c r="I24" s="20" t="n">
        <f aca="false">GNMA!I46-GNMA!J46</f>
        <v>2270552.81014614</v>
      </c>
    </row>
    <row r="25" customFormat="false" ht="12.75" hidden="false" customHeight="false" outlineLevel="0" collapsed="false">
      <c r="A25" s="1" t="n">
        <v>21</v>
      </c>
      <c r="B25" s="1" t="n">
        <v>0.0613302472588779</v>
      </c>
      <c r="C25" s="21" t="n">
        <f aca="false">B25*($B$2-SUM($H$5:H24))</f>
        <v>1303522.78969</v>
      </c>
      <c r="D25" s="4" t="n">
        <f aca="false">$B$1-B25</f>
        <v>0.0336697527411221</v>
      </c>
      <c r="E25" s="21" t="n">
        <f aca="false">D25*($B$2-SUM($H$5:H24))</f>
        <v>715622.257905163</v>
      </c>
      <c r="F25" s="19" t="n">
        <f aca="false">C25+E25-I25</f>
        <v>0</v>
      </c>
      <c r="H25" s="20" t="n">
        <f aca="false">GNMA!H47+GNMA!G47</f>
        <v>2528834.03149422</v>
      </c>
      <c r="I25" s="20" t="n">
        <f aca="false">GNMA!I47-GNMA!J47</f>
        <v>2019145.04759517</v>
      </c>
    </row>
    <row r="26" customFormat="false" ht="12.75" hidden="false" customHeight="false" outlineLevel="0" collapsed="false">
      <c r="A26" s="1" t="n">
        <v>22</v>
      </c>
      <c r="B26" s="1" t="n">
        <v>0.0620067458817533</v>
      </c>
      <c r="C26" s="21" t="n">
        <f aca="false">B26*($B$2-SUM($H$5:H25))</f>
        <v>1161096.4294071</v>
      </c>
      <c r="D26" s="4" t="n">
        <f aca="false">$B$1-B26</f>
        <v>0.0329932541182467</v>
      </c>
      <c r="E26" s="21" t="n">
        <f aca="false">D26*($B$2-SUM($H$5:H25))</f>
        <v>617809.385196112</v>
      </c>
      <c r="F26" s="19" t="n">
        <f aca="false">C26+E26-I26</f>
        <v>0</v>
      </c>
      <c r="H26" s="20" t="n">
        <f aca="false">GNMA!H48+GNMA!G48</f>
        <v>2419725.86354806</v>
      </c>
      <c r="I26" s="20" t="n">
        <f aca="false">GNMA!I48-GNMA!J48</f>
        <v>1778905.81460321</v>
      </c>
    </row>
    <row r="27" customFormat="false" ht="12.75" hidden="false" customHeight="false" outlineLevel="0" collapsed="false">
      <c r="A27" s="1" t="n">
        <v>23</v>
      </c>
      <c r="B27" s="1" t="n">
        <v>0.0621110481407074</v>
      </c>
      <c r="C27" s="21" t="n">
        <f aca="false">B27*($B$2-SUM($H$5:H26))</f>
        <v>1012757.8134398</v>
      </c>
      <c r="D27" s="4" t="n">
        <f aca="false">$B$1-B27</f>
        <v>0.0328889518592926</v>
      </c>
      <c r="E27" s="21" t="n">
        <f aca="false">D27*($B$2-SUM($H$5:H26))</f>
        <v>536274.044126354</v>
      </c>
      <c r="F27" s="19" t="n">
        <f aca="false">C27+E27-I27</f>
        <v>0</v>
      </c>
      <c r="H27" s="20" t="n">
        <f aca="false">GNMA!H49+GNMA!G49</f>
        <v>2318613.32939275</v>
      </c>
      <c r="I27" s="20" t="n">
        <f aca="false">GNMA!I49-GNMA!J49</f>
        <v>1549031.85756615</v>
      </c>
    </row>
    <row r="28" customFormat="false" ht="12.75" hidden="false" customHeight="false" outlineLevel="0" collapsed="false">
      <c r="A28" s="1" t="n">
        <v>24</v>
      </c>
      <c r="B28" s="1" t="n">
        <v>0.0626748603297048</v>
      </c>
      <c r="C28" s="21" t="n">
        <f aca="false">B28*($B$2-SUM($H$5:H27))</f>
        <v>876632.342045102</v>
      </c>
      <c r="D28" s="4" t="n">
        <f aca="false">$B$1-B28</f>
        <v>0.0323251396702952</v>
      </c>
      <c r="E28" s="21" t="n">
        <f aca="false">D28*($B$2-SUM($H$5:H27))</f>
        <v>452131.249228735</v>
      </c>
      <c r="F28" s="19" t="n">
        <f aca="false">C28+E28-I28</f>
        <v>0</v>
      </c>
      <c r="H28" s="20" t="n">
        <f aca="false">GNMA!H50+GNMA!G50</f>
        <v>2225065.96188712</v>
      </c>
      <c r="I28" s="20" t="n">
        <f aca="false">GNMA!I50-GNMA!J50</f>
        <v>1328763.59127384</v>
      </c>
    </row>
    <row r="29" customFormat="false" ht="12.75" hidden="false" customHeight="false" outlineLevel="0" collapsed="false">
      <c r="A29" s="1" t="n">
        <v>25</v>
      </c>
      <c r="B29" s="1" t="n">
        <v>0.0630856954727574</v>
      </c>
      <c r="C29" s="21" t="n">
        <f aca="false">B29*($B$2-SUM($H$5:H28))</f>
        <v>742008.85342042</v>
      </c>
      <c r="D29" s="4" t="n">
        <f aca="false">$B$1-B29</f>
        <v>0.0319143045272426</v>
      </c>
      <c r="E29" s="21" t="n">
        <f aca="false">D29*($B$2-SUM($H$5:H28))</f>
        <v>375373.471474141</v>
      </c>
      <c r="F29" s="19" t="n">
        <f aca="false">C29+E29-I29</f>
        <v>0</v>
      </c>
      <c r="H29" s="20" t="n">
        <f aca="false">GNMA!H51+GNMA!G51</f>
        <v>2138680.7971286</v>
      </c>
      <c r="I29" s="20" t="n">
        <f aca="false">GNMA!I51-GNMA!J51</f>
        <v>1117382.32489456</v>
      </c>
    </row>
    <row r="30" customFormat="false" ht="12.75" hidden="false" customHeight="false" outlineLevel="0" collapsed="false">
      <c r="A30" s="1" t="n">
        <v>26</v>
      </c>
      <c r="B30" s="1" t="n">
        <v>0.0631089623921724</v>
      </c>
      <c r="C30" s="21" t="n">
        <f aca="false">B30*($B$2-SUM($H$5:H29))</f>
        <v>607312.591051981</v>
      </c>
      <c r="D30" s="4" t="n">
        <f aca="false">$B$1-B30</f>
        <v>0.0318910376078276</v>
      </c>
      <c r="E30" s="21" t="n">
        <f aca="false">D30*($B$2-SUM($H$5:H29))</f>
        <v>306895.058115363</v>
      </c>
      <c r="F30" s="19" t="n">
        <f aca="false">C30+E30-I30</f>
        <v>0</v>
      </c>
      <c r="H30" s="20" t="n">
        <f aca="false">GNMA!H52+GNMA!G52</f>
        <v>2059080.78121604</v>
      </c>
      <c r="I30" s="20" t="n">
        <f aca="false">GNMA!I52-GNMA!J52</f>
        <v>914207.649167344</v>
      </c>
    </row>
    <row r="31" customFormat="false" ht="12.75" hidden="false" customHeight="false" outlineLevel="0" collapsed="false">
      <c r="A31" s="1" t="n">
        <v>27</v>
      </c>
      <c r="B31" s="1" t="n">
        <v>0.0638247049667732</v>
      </c>
      <c r="C31" s="21" t="n">
        <f aca="false">B31*($B$2-SUM($H$5:H30))</f>
        <v>482780.129125324</v>
      </c>
      <c r="D31" s="4" t="n">
        <f aca="false">$B$1-B31</f>
        <v>0.0311752950332268</v>
      </c>
      <c r="E31" s="21" t="n">
        <f aca="false">D31*($B$2-SUM($H$5:H30))</f>
        <v>235814.845826498</v>
      </c>
      <c r="F31" s="19" t="n">
        <f aca="false">C31+E31-I31</f>
        <v>0</v>
      </c>
      <c r="H31" s="20" t="n">
        <f aca="false">GNMA!H53+GNMA!G53</f>
        <v>1985913.27454336</v>
      </c>
      <c r="I31" s="20" t="n">
        <f aca="false">GNMA!I53-GNMA!J53</f>
        <v>718594.97495182</v>
      </c>
    </row>
    <row r="32" customFormat="false" ht="12.75" hidden="false" customHeight="false" outlineLevel="0" collapsed="false">
      <c r="A32" s="1" t="n">
        <v>28</v>
      </c>
      <c r="B32" s="1" t="n">
        <v>0.0643438571214386</v>
      </c>
      <c r="C32" s="21" t="n">
        <f aca="false">B32*($B$2-SUM($H$5:H31))</f>
        <v>358925.757864937</v>
      </c>
      <c r="D32" s="4" t="n">
        <f aca="false">$B$1-B32</f>
        <v>0.0306561428785614</v>
      </c>
      <c r="E32" s="21" t="n">
        <f aca="false">D32*($B$2-SUM($H$5:H31))</f>
        <v>171007.456005264</v>
      </c>
      <c r="F32" s="19" t="n">
        <f aca="false">C32+E32-I32</f>
        <v>0</v>
      </c>
      <c r="H32" s="20" t="n">
        <f aca="false">GNMA!H54+GNMA!G54</f>
        <v>1918848.64783785</v>
      </c>
      <c r="I32" s="20" t="n">
        <f aca="false">GNMA!I54-GNMA!J54</f>
        <v>529933.213870201</v>
      </c>
    </row>
    <row r="33" customFormat="false" ht="12.75" hidden="false" customHeight="false" outlineLevel="0" collapsed="false">
      <c r="A33" s="1" t="n">
        <v>29</v>
      </c>
      <c r="B33" s="1" t="n">
        <v>0.0651484950909262</v>
      </c>
      <c r="C33" s="21" t="n">
        <f aca="false">B33*($B$2-SUM($H$5:H32))</f>
        <v>238404.123363385</v>
      </c>
      <c r="D33" s="4" t="n">
        <f aca="false">$B$1-B33</f>
        <v>0.0298515049090738</v>
      </c>
      <c r="E33" s="21" t="n">
        <f aca="false">D33*($B$2-SUM($H$5:H32))</f>
        <v>109238.468962221</v>
      </c>
      <c r="F33" s="19" t="n">
        <f aca="false">C33+E33-I33</f>
        <v>0</v>
      </c>
      <c r="H33" s="20" t="n">
        <f aca="false">GNMA!H55+GNMA!G55</f>
        <v>1857578.96450674</v>
      </c>
      <c r="I33" s="20" t="n">
        <f aca="false">GNMA!I55-GNMA!J55</f>
        <v>347642.592325606</v>
      </c>
    </row>
    <row r="34" customFormat="false" ht="12.75" hidden="false" customHeight="false" outlineLevel="0" collapsed="false">
      <c r="A34" s="1" t="n">
        <v>30</v>
      </c>
      <c r="B34" s="1" t="n">
        <v>0.0657093204280485</v>
      </c>
      <c r="C34" s="21" t="n">
        <f aca="false">B34*($B$2-SUM($H$5:H33))</f>
        <v>118396.1537962</v>
      </c>
      <c r="D34" s="4" t="n">
        <f aca="false">$B$1-B34</f>
        <v>0.0292906795719515</v>
      </c>
      <c r="E34" s="21" t="n">
        <f aca="false">D34*($B$2-SUM($H$5:H33))</f>
        <v>52776.4369012662</v>
      </c>
      <c r="F34" s="19" t="n">
        <f aca="false">C34+E34-I34</f>
        <v>1.07684172689915E-009</v>
      </c>
      <c r="H34" s="20" t="n">
        <f aca="false">GNMA!H56+GNMA!G56</f>
        <v>1801816.74418384</v>
      </c>
      <c r="I34" s="20" t="n">
        <f aca="false">GNMA!I56-GNMA!J56</f>
        <v>171172.590697465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A56"/>
  <sheetViews>
    <sheetView showFormulas="false" showGridLines="true" showRowColHeaders="true" showZeros="true" rightToLeft="false" tabSelected="false" showOutlineSymbols="true" defaultGridColor="true" view="normal" topLeftCell="M16" colorId="64" zoomScale="100" zoomScaleNormal="100" zoomScalePageLayoutView="100" workbookViewId="0">
      <selection pane="topLeft" activeCell="A67" activeCellId="0" sqref="A67"/>
    </sheetView>
  </sheetViews>
  <sheetFormatPr defaultColWidth="17.70703125" defaultRowHeight="12.75" customHeight="true" zeroHeight="false" outlineLevelRow="0" outlineLevelCol="0"/>
  <cols>
    <col collapsed="false" customWidth="true" hidden="false" outlineLevel="0" max="5" min="5" style="1" width="21.56"/>
    <col collapsed="false" customWidth="true" hidden="false" outlineLevel="0" max="6" min="6" style="1" width="18.99"/>
    <col collapsed="false" customWidth="true" hidden="false" outlineLevel="0" max="12" min="12" style="1" width="20.28"/>
    <col collapsed="false" customWidth="true" hidden="false" outlineLevel="0" max="36" min="36" style="1" width="20.28"/>
  </cols>
  <sheetData>
    <row r="1" customFormat="false" ht="12.75" hidden="false" customHeight="false" outlineLevel="0" collapsed="false">
      <c r="A1" s="9" t="s">
        <v>13</v>
      </c>
    </row>
    <row r="3" customFormat="false" ht="12.75" hidden="false" customHeight="false" outlineLevel="0" collapsed="false">
      <c r="A3" s="9" t="s">
        <v>14</v>
      </c>
      <c r="C3" s="3" t="n">
        <v>0.1</v>
      </c>
    </row>
    <row r="4" customFormat="false" ht="12.75" hidden="false" customHeight="false" outlineLevel="0" collapsed="false">
      <c r="A4" s="9" t="s">
        <v>15</v>
      </c>
      <c r="C4" s="3" t="n">
        <v>1</v>
      </c>
    </row>
    <row r="5" customFormat="false" ht="12.75" hidden="false" customHeight="false" outlineLevel="0" collapsed="false">
      <c r="A5" s="9" t="s">
        <v>18</v>
      </c>
      <c r="C5" s="3" t="n">
        <v>0.005</v>
      </c>
    </row>
    <row r="6" customFormat="false" ht="12.75" hidden="false" customHeight="false" outlineLevel="0" collapsed="false">
      <c r="A6" s="9" t="s">
        <v>16</v>
      </c>
      <c r="C6" s="11" t="n">
        <v>100000000</v>
      </c>
    </row>
    <row r="7" customFormat="false" ht="12.75" hidden="false" customHeight="false" outlineLevel="0" collapsed="false">
      <c r="A7" s="9" t="s">
        <v>58</v>
      </c>
      <c r="C7" s="11" t="n">
        <v>4000000</v>
      </c>
    </row>
    <row r="8" customFormat="false" ht="12.75" hidden="false" customHeight="false" outlineLevel="0" collapsed="false">
      <c r="C8" s="11"/>
    </row>
    <row r="9" customFormat="false" ht="12.75" hidden="false" customHeight="false" outlineLevel="0" collapsed="false">
      <c r="A9" s="9" t="s">
        <v>19</v>
      </c>
      <c r="C9" s="11" t="n">
        <v>30000000</v>
      </c>
    </row>
    <row r="10" customFormat="false" ht="12.75" hidden="false" customHeight="false" outlineLevel="0" collapsed="false">
      <c r="A10" s="9" t="s">
        <v>20</v>
      </c>
      <c r="C10" s="3" t="n">
        <v>0.08</v>
      </c>
    </row>
    <row r="11" customFormat="false" ht="12.75" hidden="false" customHeight="false" outlineLevel="0" collapsed="false">
      <c r="E11" s="9" t="s">
        <v>21</v>
      </c>
      <c r="BM11" s="2" t="n">
        <v>0.2</v>
      </c>
      <c r="BN11" s="2" t="n">
        <f aca="false">0.2+BM11</f>
        <v>0.4</v>
      </c>
      <c r="BO11" s="2" t="n">
        <f aca="false">0.2+BN11</f>
        <v>0.6</v>
      </c>
      <c r="BP11" s="2" t="n">
        <f aca="false">0.2+BO11</f>
        <v>0.8</v>
      </c>
      <c r="BQ11" s="2" t="n">
        <f aca="false">0.2+BP11</f>
        <v>1</v>
      </c>
      <c r="BR11" s="2" t="n">
        <f aca="false">0.2+BQ11</f>
        <v>1.2</v>
      </c>
      <c r="BS11" s="2" t="n">
        <f aca="false">0.2+BR11</f>
        <v>1.4</v>
      </c>
      <c r="BT11" s="2" t="n">
        <f aca="false">0.2+BS11</f>
        <v>1.6</v>
      </c>
      <c r="BU11" s="2" t="n">
        <f aca="false">0.2+BT11</f>
        <v>1.8</v>
      </c>
      <c r="BV11" s="2" t="n">
        <f aca="false">0.2+BU11</f>
        <v>2</v>
      </c>
      <c r="BW11" s="2" t="n">
        <f aca="false">0.2+BV11</f>
        <v>2.2</v>
      </c>
      <c r="BX11" s="2" t="n">
        <f aca="false">0.2+BW11</f>
        <v>2.4</v>
      </c>
      <c r="BY11" s="2" t="n">
        <f aca="false">0.2+BX11</f>
        <v>2.6</v>
      </c>
      <c r="BZ11" s="2" t="n">
        <f aca="false">0.2+BY11</f>
        <v>2.8</v>
      </c>
      <c r="CA11" s="2" t="n">
        <f aca="false">0.2+BZ11</f>
        <v>3</v>
      </c>
      <c r="CB11" s="2" t="n">
        <f aca="false">0.2+CA11</f>
        <v>3.2</v>
      </c>
      <c r="CC11" s="2" t="n">
        <f aca="false">0.2+CB11</f>
        <v>3.4</v>
      </c>
      <c r="CD11" s="2" t="n">
        <f aca="false">0.2+CC11</f>
        <v>3.6</v>
      </c>
      <c r="CE11" s="2" t="n">
        <f aca="false">0.2+CD11</f>
        <v>3.8</v>
      </c>
      <c r="CF11" s="2" t="n">
        <f aca="false">0.2+CE11</f>
        <v>4</v>
      </c>
      <c r="CG11" s="2" t="n">
        <f aca="false">0.2+CF11</f>
        <v>4.2</v>
      </c>
      <c r="CH11" s="2" t="n">
        <f aca="false">0.2+CG11</f>
        <v>4.4</v>
      </c>
      <c r="CI11" s="2" t="n">
        <f aca="false">0.2+CH11</f>
        <v>4.6</v>
      </c>
      <c r="CJ11" s="2" t="n">
        <f aca="false">0.2+CI11</f>
        <v>4.8</v>
      </c>
      <c r="CK11" s="2" t="n">
        <f aca="false">0.2+CJ11</f>
        <v>5</v>
      </c>
      <c r="CL11" s="2" t="n">
        <f aca="false">0.2+CK11</f>
        <v>5.2</v>
      </c>
      <c r="CM11" s="2" t="n">
        <f aca="false">0.2+CL11</f>
        <v>5.4</v>
      </c>
      <c r="CN11" s="2" t="n">
        <f aca="false">0.2+CM11</f>
        <v>5.6</v>
      </c>
      <c r="CO11" s="2" t="n">
        <f aca="false">0.2+CN11</f>
        <v>5.8</v>
      </c>
      <c r="CP11" s="2" t="n">
        <f aca="false">0.2+CO11</f>
        <v>6</v>
      </c>
      <c r="CQ11" s="2" t="n">
        <v>6</v>
      </c>
      <c r="CR11" s="2" t="n">
        <v>6</v>
      </c>
      <c r="CS11" s="2" t="n">
        <v>6</v>
      </c>
      <c r="CT11" s="2" t="n">
        <v>6</v>
      </c>
      <c r="CU11" s="2" t="n">
        <v>6</v>
      </c>
      <c r="CV11" s="2" t="n">
        <v>6</v>
      </c>
      <c r="CW11" s="2" t="n">
        <f aca="false">0.2+CV11</f>
        <v>6.2</v>
      </c>
      <c r="CX11" s="2" t="n">
        <f aca="false">0.2+CW11</f>
        <v>6.4</v>
      </c>
      <c r="CY11" s="2" t="n">
        <f aca="false">0.2+CX11</f>
        <v>6.6</v>
      </c>
      <c r="CZ11" s="2" t="n">
        <f aca="false">0.2+CY11</f>
        <v>6.8</v>
      </c>
      <c r="DA11" s="2" t="n">
        <f aca="false">0.2+CZ11</f>
        <v>7</v>
      </c>
    </row>
    <row r="12" customFormat="false" ht="12.75" hidden="false" customHeight="false" outlineLevel="0" collapsed="false">
      <c r="A12" s="9" t="s">
        <v>22</v>
      </c>
      <c r="C12" s="11" t="n">
        <v>30000000</v>
      </c>
      <c r="BM12" s="2" t="n">
        <v>1</v>
      </c>
      <c r="BN12" s="2" t="n">
        <f aca="false">BM12+1</f>
        <v>2</v>
      </c>
      <c r="BO12" s="2" t="n">
        <f aca="false">BN12+1</f>
        <v>3</v>
      </c>
      <c r="BP12" s="2" t="n">
        <f aca="false">BO12+1</f>
        <v>4</v>
      </c>
      <c r="BQ12" s="2" t="n">
        <f aca="false">BP12+1</f>
        <v>5</v>
      </c>
      <c r="BR12" s="2" t="n">
        <f aca="false">BQ12+1</f>
        <v>6</v>
      </c>
      <c r="BS12" s="2" t="n">
        <f aca="false">BR12+1</f>
        <v>7</v>
      </c>
      <c r="BT12" s="2" t="n">
        <f aca="false">BS12+1</f>
        <v>8</v>
      </c>
      <c r="BU12" s="2" t="n">
        <f aca="false">BT12+1</f>
        <v>9</v>
      </c>
      <c r="BV12" s="2" t="n">
        <f aca="false">BU12+1</f>
        <v>10</v>
      </c>
      <c r="BW12" s="2" t="n">
        <f aca="false">BV12+1</f>
        <v>11</v>
      </c>
      <c r="BX12" s="2" t="n">
        <f aca="false">BW12+1</f>
        <v>12</v>
      </c>
      <c r="BY12" s="2" t="n">
        <f aca="false">BX12+1</f>
        <v>13</v>
      </c>
      <c r="BZ12" s="2" t="n">
        <f aca="false">BY12+1</f>
        <v>14</v>
      </c>
      <c r="CA12" s="2" t="n">
        <f aca="false">BZ12+1</f>
        <v>15</v>
      </c>
      <c r="CB12" s="2" t="n">
        <f aca="false">CA12+1</f>
        <v>16</v>
      </c>
      <c r="CC12" s="2" t="n">
        <f aca="false">CB12+1</f>
        <v>17</v>
      </c>
      <c r="CD12" s="2" t="n">
        <f aca="false">CC12+1</f>
        <v>18</v>
      </c>
      <c r="CE12" s="2" t="n">
        <f aca="false">CD12+1</f>
        <v>19</v>
      </c>
      <c r="CF12" s="2" t="n">
        <f aca="false">CE12+1</f>
        <v>20</v>
      </c>
      <c r="CG12" s="2" t="n">
        <f aca="false">CF12+1</f>
        <v>21</v>
      </c>
      <c r="CH12" s="2" t="n">
        <f aca="false">CG12+1</f>
        <v>22</v>
      </c>
      <c r="CI12" s="2" t="n">
        <f aca="false">CH12+1</f>
        <v>23</v>
      </c>
      <c r="CJ12" s="2" t="n">
        <f aca="false">CI12+1</f>
        <v>24</v>
      </c>
      <c r="CK12" s="2" t="n">
        <f aca="false">CJ12+1</f>
        <v>25</v>
      </c>
      <c r="CL12" s="2" t="n">
        <f aca="false">CK12+1</f>
        <v>26</v>
      </c>
      <c r="CM12" s="2" t="n">
        <f aca="false">CL12+1</f>
        <v>27</v>
      </c>
      <c r="CN12" s="2" t="n">
        <f aca="false">CM12+1</f>
        <v>28</v>
      </c>
      <c r="CO12" s="2" t="n">
        <f aca="false">CN12+1</f>
        <v>29</v>
      </c>
      <c r="CP12" s="2" t="n">
        <f aca="false">CO12+1</f>
        <v>30</v>
      </c>
      <c r="CQ12" s="2" t="n">
        <f aca="false">CP12+1</f>
        <v>31</v>
      </c>
      <c r="CR12" s="2" t="n">
        <f aca="false">CQ12+1</f>
        <v>32</v>
      </c>
      <c r="CS12" s="2" t="n">
        <f aca="false">CR12+1</f>
        <v>33</v>
      </c>
      <c r="CT12" s="2" t="n">
        <f aca="false">CS12+1</f>
        <v>34</v>
      </c>
      <c r="CU12" s="2" t="n">
        <f aca="false">CT12+1</f>
        <v>35</v>
      </c>
      <c r="CV12" s="2" t="n">
        <f aca="false">CU12+1</f>
        <v>36</v>
      </c>
    </row>
    <row r="13" customFormat="false" ht="12.75" hidden="false" customHeight="false" outlineLevel="0" collapsed="false">
      <c r="A13" s="9" t="s">
        <v>23</v>
      </c>
      <c r="C13" s="3" t="n">
        <v>0.0825</v>
      </c>
      <c r="BM13" s="2" t="n">
        <f aca="false">SUM(BM1:BX11)/12</f>
        <v>1.3</v>
      </c>
      <c r="BY13" s="2" t="n">
        <f aca="false">SUM(BY11:CJ11)/12</f>
        <v>3.7</v>
      </c>
      <c r="CK13" s="2" t="n">
        <f aca="false">SUM(CK11:CV11)/12</f>
        <v>5.75</v>
      </c>
    </row>
    <row r="15" customFormat="false" ht="12.75" hidden="false" customHeight="false" outlineLevel="0" collapsed="false">
      <c r="A15" s="9" t="s">
        <v>24</v>
      </c>
      <c r="C15" s="11" t="n">
        <v>25000000</v>
      </c>
    </row>
    <row r="16" customFormat="false" ht="12.75" hidden="false" customHeight="false" outlineLevel="0" collapsed="false">
      <c r="A16" s="9" t="s">
        <v>25</v>
      </c>
      <c r="C16" s="3" t="n">
        <v>0.085</v>
      </c>
    </row>
    <row r="18" customFormat="false" ht="12.75" hidden="false" customHeight="false" outlineLevel="0" collapsed="false">
      <c r="A18" s="9" t="s">
        <v>26</v>
      </c>
      <c r="C18" s="11" t="n">
        <v>15000000</v>
      </c>
    </row>
    <row r="19" customFormat="false" ht="12.75" hidden="false" customHeight="false" outlineLevel="0" collapsed="false">
      <c r="A19" s="9" t="s">
        <v>27</v>
      </c>
      <c r="C19" s="3" t="n">
        <v>0.09</v>
      </c>
    </row>
    <row r="22" customFormat="false" ht="12.75" hidden="false" customHeight="false" outlineLevel="0" collapsed="false">
      <c r="B22" s="9" t="s">
        <v>28</v>
      </c>
      <c r="M22" s="9" t="s">
        <v>59</v>
      </c>
      <c r="S22" s="9" t="s">
        <v>60</v>
      </c>
      <c r="Y22" s="9" t="s">
        <v>61</v>
      </c>
      <c r="AE22" s="9" t="s">
        <v>62</v>
      </c>
      <c r="AN22" s="9" t="s">
        <v>63</v>
      </c>
    </row>
    <row r="23" customFormat="false" ht="12.75" hidden="false" customHeight="false" outlineLevel="0" collapsed="false">
      <c r="H23" s="12" t="s">
        <v>64</v>
      </c>
      <c r="I23" s="12"/>
      <c r="J23" s="12"/>
      <c r="L23" s="9" t="s">
        <v>29</v>
      </c>
      <c r="AH23" s="12" t="s">
        <v>65</v>
      </c>
      <c r="AJ23" s="12" t="s">
        <v>66</v>
      </c>
      <c r="AL23" s="12" t="s">
        <v>65</v>
      </c>
      <c r="AM23" s="12" t="s">
        <v>67</v>
      </c>
      <c r="AN23" s="12" t="s">
        <v>68</v>
      </c>
    </row>
    <row r="24" customFormat="false" ht="12.75" hidden="false" customHeight="false" outlineLevel="0" collapsed="false">
      <c r="A24" s="12" t="s">
        <v>30</v>
      </c>
      <c r="B24" s="12" t="s">
        <v>31</v>
      </c>
      <c r="C24" s="12" t="s">
        <v>32</v>
      </c>
      <c r="D24" s="12" t="s">
        <v>33</v>
      </c>
      <c r="E24" s="12" t="s">
        <v>69</v>
      </c>
      <c r="F24" s="12" t="s">
        <v>6</v>
      </c>
      <c r="G24" s="12" t="s">
        <v>70</v>
      </c>
      <c r="H24" s="12" t="s">
        <v>71</v>
      </c>
      <c r="I24" s="12" t="s">
        <v>18</v>
      </c>
      <c r="J24" s="12" t="s">
        <v>12</v>
      </c>
      <c r="K24" s="12" t="s">
        <v>72</v>
      </c>
      <c r="L24" s="9" t="s">
        <v>34</v>
      </c>
      <c r="M24" s="12" t="s">
        <v>31</v>
      </c>
      <c r="N24" s="12" t="s">
        <v>32</v>
      </c>
      <c r="O24" s="9" t="s">
        <v>73</v>
      </c>
      <c r="P24" s="9" t="s">
        <v>5</v>
      </c>
      <c r="R24" s="9" t="s">
        <v>67</v>
      </c>
      <c r="S24" s="12" t="s">
        <v>31</v>
      </c>
      <c r="T24" s="12" t="s">
        <v>32</v>
      </c>
      <c r="U24" s="9" t="s">
        <v>73</v>
      </c>
      <c r="V24" s="9" t="s">
        <v>5</v>
      </c>
      <c r="X24" s="9" t="s">
        <v>67</v>
      </c>
      <c r="Y24" s="12" t="s">
        <v>31</v>
      </c>
      <c r="Z24" s="12" t="s">
        <v>32</v>
      </c>
      <c r="AA24" s="9" t="s">
        <v>73</v>
      </c>
      <c r="AB24" s="9" t="s">
        <v>5</v>
      </c>
      <c r="AD24" s="9" t="s">
        <v>67</v>
      </c>
      <c r="AE24" s="12" t="s">
        <v>31</v>
      </c>
      <c r="AF24" s="12" t="s">
        <v>32</v>
      </c>
      <c r="AG24" s="12" t="s">
        <v>73</v>
      </c>
      <c r="AH24" s="12" t="s">
        <v>74</v>
      </c>
      <c r="AI24" s="9" t="s">
        <v>75</v>
      </c>
      <c r="AJ24" s="12" t="s">
        <v>75</v>
      </c>
      <c r="AK24" s="12" t="s">
        <v>70</v>
      </c>
      <c r="AL24" s="12" t="s">
        <v>76</v>
      </c>
      <c r="AM24" s="12" t="s">
        <v>77</v>
      </c>
      <c r="AN24" s="12" t="s">
        <v>6</v>
      </c>
      <c r="AO24" s="12" t="s">
        <v>67</v>
      </c>
    </row>
    <row r="25" customFormat="false" ht="12.75" hidden="false" customHeight="false" outlineLevel="0" collapsed="false">
      <c r="P25" s="9" t="s">
        <v>6</v>
      </c>
      <c r="Q25" s="9" t="s">
        <v>12</v>
      </c>
      <c r="R25" s="9" t="s">
        <v>6</v>
      </c>
      <c r="V25" s="9" t="s">
        <v>6</v>
      </c>
      <c r="W25" s="9" t="s">
        <v>12</v>
      </c>
      <c r="X25" s="9" t="s">
        <v>6</v>
      </c>
      <c r="AB25" s="9" t="s">
        <v>6</v>
      </c>
      <c r="AC25" s="9" t="s">
        <v>12</v>
      </c>
      <c r="AD25" s="9" t="s">
        <v>6</v>
      </c>
    </row>
    <row r="26" customFormat="false" ht="12.75" hidden="false" customHeight="false" outlineLevel="0" collapsed="false">
      <c r="A26" s="13" t="n">
        <v>0</v>
      </c>
      <c r="B26" s="14" t="n">
        <f aca="false">1/(1+$C$3)*B27</f>
        <v>0.057308553301168</v>
      </c>
      <c r="C26" s="14" t="n">
        <f aca="false">1/$C$3*(1-B26)</f>
        <v>9.42691446698832</v>
      </c>
      <c r="D26" s="15" t="n">
        <v>0</v>
      </c>
      <c r="E26" s="16" t="n">
        <f aca="false">C6+C7</f>
        <v>104000000</v>
      </c>
      <c r="F26" s="16"/>
      <c r="G26" s="16"/>
      <c r="H26" s="16"/>
      <c r="I26" s="16"/>
      <c r="J26" s="16"/>
      <c r="K26" s="16"/>
      <c r="L26" s="16" t="n">
        <f aca="false">MAXA(0,+E26-$C$7)</f>
        <v>100000000</v>
      </c>
      <c r="M26" s="14" t="n">
        <f aca="false">1/(1+$C$10)*M27</f>
        <v>0.099377332549801</v>
      </c>
      <c r="N26" s="14" t="n">
        <f aca="false">1/$C$10*(1-M26)</f>
        <v>11.2577833431275</v>
      </c>
      <c r="O26" s="16" t="n">
        <f aca="false">C9</f>
        <v>30000000</v>
      </c>
      <c r="P26" s="16"/>
      <c r="Q26" s="16"/>
      <c r="R26" s="16"/>
      <c r="S26" s="14" t="n">
        <f aca="false">1/(1+$C$13)*S27</f>
        <v>0.0927177425843409</v>
      </c>
      <c r="T26" s="14" t="n">
        <f aca="false">1/$C$13*(1-S26)</f>
        <v>10.9973606959474</v>
      </c>
      <c r="U26" s="16" t="n">
        <f aca="false">C12</f>
        <v>30000000</v>
      </c>
      <c r="V26" s="16"/>
      <c r="W26" s="16"/>
      <c r="X26" s="16"/>
      <c r="Y26" s="14" t="n">
        <f aca="false">1/(1+$C$16)*Y27</f>
        <v>0.086518275511326</v>
      </c>
      <c r="Z26" s="14" t="n">
        <f aca="false">1/$C$16*(1-Y26)</f>
        <v>10.7468438175138</v>
      </c>
      <c r="AA26" s="16" t="n">
        <f aca="false">C15</f>
        <v>25000000</v>
      </c>
      <c r="AB26" s="16"/>
      <c r="AC26" s="16"/>
      <c r="AD26" s="16"/>
      <c r="AE26" s="14" t="n">
        <f aca="false">1/(1+$C$19)*AE27</f>
        <v>0.0753711361280432</v>
      </c>
      <c r="AF26" s="14" t="n">
        <f aca="false">1/$C$19*(1-AE26)</f>
        <v>10.2736540430217</v>
      </c>
      <c r="AG26" s="16" t="n">
        <f aca="false">C18</f>
        <v>15000000</v>
      </c>
      <c r="AH26" s="16"/>
      <c r="AI26" s="16"/>
      <c r="AJ26" s="16"/>
      <c r="AK26" s="16"/>
      <c r="AL26" s="16" t="n">
        <v>0</v>
      </c>
      <c r="AM26" s="16"/>
      <c r="AN26" s="16" t="n">
        <f aca="false">-C7</f>
        <v>-4000000</v>
      </c>
      <c r="AO26" s="16"/>
    </row>
    <row r="27" customFormat="false" ht="12.75" hidden="false" customHeight="false" outlineLevel="0" collapsed="false">
      <c r="A27" s="13" t="n">
        <f aca="false">A26+1</f>
        <v>1</v>
      </c>
      <c r="B27" s="14" t="n">
        <f aca="false">1/(1+$C$3)*B28</f>
        <v>0.0630394086312848</v>
      </c>
      <c r="C27" s="14" t="n">
        <f aca="false">1/$C$3*(1-B27)</f>
        <v>9.36960591368715</v>
      </c>
      <c r="D27" s="15" t="n">
        <f aca="false">0.012*C4</f>
        <v>0.012</v>
      </c>
      <c r="E27" s="16" t="n">
        <f aca="false">E26-H27-G27</f>
        <v>101613585.083545</v>
      </c>
      <c r="F27" s="16" t="n">
        <f aca="false">E26/C26</f>
        <v>11032241.8182739</v>
      </c>
      <c r="G27" s="16" t="n">
        <f aca="false">(E26-H27)*D27</f>
        <v>1234173.09818071</v>
      </c>
      <c r="H27" s="16" t="n">
        <f aca="false">F27-K27</f>
        <v>1152241.81827393</v>
      </c>
      <c r="I27" s="16" t="n">
        <f aca="false">E26*$C$5</f>
        <v>520000</v>
      </c>
      <c r="J27" s="16" t="n">
        <f aca="false">E26*C$3</f>
        <v>10400000</v>
      </c>
      <c r="K27" s="16" t="n">
        <f aca="false">J27-I27</f>
        <v>9880000</v>
      </c>
      <c r="L27" s="16" t="n">
        <f aca="false">MAXA(0,+E27-$C$7)</f>
        <v>97613585.0835454</v>
      </c>
      <c r="M27" s="14" t="n">
        <f aca="false">1/(1+$C$10)*M28</f>
        <v>0.107327519153785</v>
      </c>
      <c r="N27" s="14" t="n">
        <f aca="false">1/$C$10*(1-M27)</f>
        <v>11.1584060105777</v>
      </c>
      <c r="O27" s="16" t="n">
        <f aca="false">O26-P27</f>
        <v>26263585.0835454</v>
      </c>
      <c r="P27" s="16" t="n">
        <f aca="false">MAXA(0,MINA(G27+H27+AH27,O26))</f>
        <v>3736414.91645464</v>
      </c>
      <c r="Q27" s="16" t="n">
        <f aca="false">O26*$C$10</f>
        <v>2400000</v>
      </c>
      <c r="R27" s="16" t="n">
        <f aca="false">P27+Q27</f>
        <v>6136414.91645464</v>
      </c>
      <c r="S27" s="14" t="n">
        <f aca="false">1/(1+$C$13)*S28</f>
        <v>0.100366956347549</v>
      </c>
      <c r="T27" s="14" t="n">
        <f aca="false">1/$C$13*(1-S27)</f>
        <v>10.904642953363</v>
      </c>
      <c r="U27" s="16" t="n">
        <f aca="false">U26-V27</f>
        <v>30000000</v>
      </c>
      <c r="V27" s="16" t="n">
        <f aca="false">MAXA(0,MINA(G27+H27+AH27-P27,U26))</f>
        <v>0</v>
      </c>
      <c r="W27" s="16" t="n">
        <f aca="false">U26*$C$13</f>
        <v>2475000</v>
      </c>
      <c r="X27" s="16" t="n">
        <f aca="false">V27+W27</f>
        <v>2475000</v>
      </c>
      <c r="Y27" s="14" t="n">
        <f aca="false">1/(1+$C$16)*Y28</f>
        <v>0.0938723289297887</v>
      </c>
      <c r="Z27" s="14" t="n">
        <f aca="false">1/$C$16*(1-Y27)</f>
        <v>10.6603255420025</v>
      </c>
      <c r="AA27" s="16" t="n">
        <f aca="false">AA26-AB27</f>
        <v>25000000</v>
      </c>
      <c r="AB27" s="16" t="n">
        <f aca="false">MAXA(0,MINA(+G27+H27+AH27-P27-V27,AA26))</f>
        <v>0</v>
      </c>
      <c r="AC27" s="16" t="n">
        <f aca="false">AA26*$C$16</f>
        <v>2125000</v>
      </c>
      <c r="AD27" s="16" t="n">
        <f aca="false">AB27+AC27</f>
        <v>2125000</v>
      </c>
      <c r="AE27" s="14" t="n">
        <f aca="false">1/(1+$C$19)*AE28</f>
        <v>0.0821545383795671</v>
      </c>
      <c r="AF27" s="14" t="n">
        <f aca="false">1/$C$19*(1-AE27)</f>
        <v>10.1982829068937</v>
      </c>
      <c r="AG27" s="16" t="n">
        <f aca="false">AG26+AI27</f>
        <v>16350000</v>
      </c>
      <c r="AH27" s="16" t="n">
        <f aca="false">AG26*$C$19</f>
        <v>1350000</v>
      </c>
      <c r="AI27" s="16" t="n">
        <f aca="false">AG26*$C$19-AL27-AK27+AN27-AN27</f>
        <v>1350000</v>
      </c>
      <c r="AJ27" s="16" t="n">
        <f aca="false">AI27+AJ26</f>
        <v>1350000</v>
      </c>
      <c r="AK27" s="16" t="n">
        <f aca="false">IF(AA27&gt;0,0,MINA(G27+H27-AB27,AG26))</f>
        <v>0</v>
      </c>
      <c r="AL27" s="16" t="n">
        <f aca="false">IF(AA27&gt;0,0,+AG26*$C$19)</f>
        <v>0</v>
      </c>
      <c r="AM27" s="16" t="n">
        <f aca="false">AK27+AL27</f>
        <v>0</v>
      </c>
      <c r="AN27" s="16"/>
      <c r="AO27" s="16" t="n">
        <f aca="false">G27+H27+K27-R27-X27-AD27-AM27</f>
        <v>1530000</v>
      </c>
    </row>
    <row r="28" customFormat="false" ht="12.75" hidden="false" customHeight="false" outlineLevel="0" collapsed="false">
      <c r="A28" s="13" t="n">
        <f aca="false">A27+1</f>
        <v>2</v>
      </c>
      <c r="B28" s="14" t="n">
        <f aca="false">1/(1+$C$3)*B29</f>
        <v>0.0693433494944133</v>
      </c>
      <c r="C28" s="14" t="n">
        <f aca="false">1/$C$3*(1-B28)</f>
        <v>9.30656650505587</v>
      </c>
      <c r="D28" s="15" t="n">
        <f aca="false">0.036*C4</f>
        <v>0.036</v>
      </c>
      <c r="E28" s="16" t="n">
        <f aca="false">E27-H28-G28</f>
        <v>96806666.6445278</v>
      </c>
      <c r="F28" s="16" t="n">
        <f aca="false">E27/C27</f>
        <v>10845022.3007894</v>
      </c>
      <c r="G28" s="16" t="n">
        <f aca="false">(E27-H28)*D28</f>
        <v>3615186.72116494</v>
      </c>
      <c r="H28" s="16" t="n">
        <f aca="false">F28-K28</f>
        <v>1191731.71785259</v>
      </c>
      <c r="I28" s="16" t="n">
        <f aca="false">E27*$C$5</f>
        <v>508067.925417727</v>
      </c>
      <c r="J28" s="16" t="n">
        <f aca="false">E27*C$3</f>
        <v>10161358.5083545</v>
      </c>
      <c r="K28" s="16" t="n">
        <f aca="false">J28-I28</f>
        <v>9653290.58293681</v>
      </c>
      <c r="L28" s="16" t="n">
        <f aca="false">MAXA(0,+E28-$C$7)</f>
        <v>92806666.6445278</v>
      </c>
      <c r="M28" s="14" t="n">
        <f aca="false">1/(1+$C$10)*M29</f>
        <v>0.115913720686088</v>
      </c>
      <c r="N28" s="14" t="n">
        <f aca="false">1/$C$10*(1-M28)</f>
        <v>11.0510784914239</v>
      </c>
      <c r="O28" s="16" t="n">
        <f aca="false">O27-P28</f>
        <v>19985166.6445278</v>
      </c>
      <c r="P28" s="16" t="n">
        <f aca="false">MAXA(0,MINA(G28+H28+AH28,O27))</f>
        <v>6278418.43901753</v>
      </c>
      <c r="Q28" s="16" t="n">
        <f aca="false">O27*$C$10</f>
        <v>2101086.80668363</v>
      </c>
      <c r="R28" s="16" t="n">
        <f aca="false">P28+Q28</f>
        <v>8379505.24570115</v>
      </c>
      <c r="S28" s="14" t="n">
        <f aca="false">1/(1+$C$13)*S29</f>
        <v>0.108647230246222</v>
      </c>
      <c r="T28" s="14" t="n">
        <f aca="false">1/$C$13*(1-S28)</f>
        <v>10.8042759970155</v>
      </c>
      <c r="U28" s="16" t="n">
        <f aca="false">U27-V28</f>
        <v>30000000</v>
      </c>
      <c r="V28" s="16" t="n">
        <f aca="false">MAXA(0,MINA(G28+H28+AH28-P28,U27))</f>
        <v>0</v>
      </c>
      <c r="W28" s="16" t="n">
        <f aca="false">U27*$C$13</f>
        <v>2475000</v>
      </c>
      <c r="X28" s="16" t="n">
        <f aca="false">V28+W28</f>
        <v>2475000</v>
      </c>
      <c r="Y28" s="14" t="n">
        <f aca="false">1/(1+$C$16)*Y29</f>
        <v>0.101851476888821</v>
      </c>
      <c r="Z28" s="14" t="n">
        <f aca="false">1/$C$16*(1-Y28)</f>
        <v>10.5664532130727</v>
      </c>
      <c r="AA28" s="16" t="n">
        <f aca="false">AA27-AB28</f>
        <v>25000000</v>
      </c>
      <c r="AB28" s="16" t="n">
        <f aca="false">MAXA(0,MINA(+G28+H28+AH28-P28-V28,AA27))</f>
        <v>0</v>
      </c>
      <c r="AC28" s="16" t="n">
        <f aca="false">AA27*$C$16</f>
        <v>2125000</v>
      </c>
      <c r="AD28" s="16" t="n">
        <f aca="false">AB28+AC28</f>
        <v>2125000</v>
      </c>
      <c r="AE28" s="14" t="n">
        <f aca="false">1/(1+$C$19)*AE29</f>
        <v>0.0895484468337281</v>
      </c>
      <c r="AF28" s="14" t="n">
        <f aca="false">1/$C$19*(1-AE28)</f>
        <v>10.1161283685141</v>
      </c>
      <c r="AG28" s="16" t="n">
        <f aca="false">AG27+AI28</f>
        <v>17821500</v>
      </c>
      <c r="AH28" s="16" t="n">
        <f aca="false">AG27*$C$19</f>
        <v>1471500</v>
      </c>
      <c r="AI28" s="16" t="n">
        <f aca="false">AG27*$C$19-AL28-AK28+AN28-AN28</f>
        <v>1471500</v>
      </c>
      <c r="AJ28" s="16" t="n">
        <f aca="false">AI28+AJ27</f>
        <v>2821500</v>
      </c>
      <c r="AK28" s="16" t="n">
        <f aca="false">IF(AA28&gt;0,0,MINA(G28+H28-AB28,AG27))</f>
        <v>0</v>
      </c>
      <c r="AL28" s="16" t="n">
        <f aca="false">IF(AA28&gt;0,0,+AG27*$C$19)</f>
        <v>0</v>
      </c>
      <c r="AM28" s="16" t="n">
        <f aca="false">AK28+AL28</f>
        <v>0</v>
      </c>
      <c r="AN28" s="16"/>
      <c r="AO28" s="16" t="n">
        <f aca="false">G28+H28+K28-R28-X28-AD28-AM28</f>
        <v>1480703.77625318</v>
      </c>
    </row>
    <row r="29" customFormat="false" ht="12.75" hidden="false" customHeight="false" outlineLevel="0" collapsed="false">
      <c r="A29" s="13" t="n">
        <f aca="false">A28+1</f>
        <v>3</v>
      </c>
      <c r="B29" s="14" t="n">
        <f aca="false">1/(1+$C$3)*B30</f>
        <v>0.0762776844438547</v>
      </c>
      <c r="C29" s="14" t="n">
        <f aca="false">1/$C$3*(1-B29)</f>
        <v>9.23722315556145</v>
      </c>
      <c r="D29" s="15" t="n">
        <f aca="false">0.0575*C4</f>
        <v>0.0575</v>
      </c>
      <c r="E29" s="16" t="n">
        <f aca="false">E28-H29-G29</f>
        <v>90104249.3443117</v>
      </c>
      <c r="F29" s="16" t="n">
        <f aca="false">E28/C28</f>
        <v>10401974.4115015</v>
      </c>
      <c r="G29" s="16" t="n">
        <f aca="false">(E28-H29)*D29</f>
        <v>5497076.21994475</v>
      </c>
      <c r="H29" s="16" t="n">
        <f aca="false">F29-K29</f>
        <v>1205341.08027133</v>
      </c>
      <c r="I29" s="16" t="n">
        <f aca="false">E28*$C$5</f>
        <v>484033.333222639</v>
      </c>
      <c r="J29" s="16" t="n">
        <f aca="false">E28*C$3</f>
        <v>9680666.66445278</v>
      </c>
      <c r="K29" s="16" t="n">
        <f aca="false">J29-I29</f>
        <v>9196633.33123014</v>
      </c>
      <c r="L29" s="16" t="n">
        <f aca="false">MAXA(0,+E29-$C$7)</f>
        <v>86104249.3443117</v>
      </c>
      <c r="M29" s="14" t="n">
        <f aca="false">1/(1+$C$10)*M30</f>
        <v>0.125186818340975</v>
      </c>
      <c r="N29" s="14" t="n">
        <f aca="false">1/$C$10*(1-M29)</f>
        <v>10.9351647707378</v>
      </c>
      <c r="O29" s="16" t="n">
        <f aca="false">O28-P29</f>
        <v>11678814.3443118</v>
      </c>
      <c r="P29" s="16" t="n">
        <f aca="false">MAXA(0,MINA(G29+H29+AH29,O28))</f>
        <v>8306352.30021608</v>
      </c>
      <c r="Q29" s="16" t="n">
        <f aca="false">O28*$C$10</f>
        <v>1598813.33156223</v>
      </c>
      <c r="R29" s="16" t="n">
        <f aca="false">P29+Q29</f>
        <v>9905165.63177831</v>
      </c>
      <c r="S29" s="14" t="n">
        <f aca="false">1/(1+$C$13)*S30</f>
        <v>0.117610626741535</v>
      </c>
      <c r="T29" s="14" t="n">
        <f aca="false">1/$C$13*(1-S29)</f>
        <v>10.6956287667693</v>
      </c>
      <c r="U29" s="16" t="n">
        <f aca="false">U28-V29</f>
        <v>30000000</v>
      </c>
      <c r="V29" s="16" t="n">
        <f aca="false">MAXA(0,MINA(G29+H29+AH29-P29,U28))</f>
        <v>0</v>
      </c>
      <c r="W29" s="16" t="n">
        <f aca="false">U28*$C$13</f>
        <v>2475000</v>
      </c>
      <c r="X29" s="16" t="n">
        <f aca="false">V29+W29</f>
        <v>2475000</v>
      </c>
      <c r="Y29" s="14" t="n">
        <f aca="false">1/(1+$C$16)*Y30</f>
        <v>0.110508852424371</v>
      </c>
      <c r="Z29" s="14" t="n">
        <f aca="false">1/$C$16*(1-Y29)</f>
        <v>10.4646017361839</v>
      </c>
      <c r="AA29" s="16" t="n">
        <f aca="false">AA28-AB29</f>
        <v>25000000</v>
      </c>
      <c r="AB29" s="16" t="n">
        <f aca="false">MAXA(0,MINA(+G29+H29+AH29-P29-V29,AA28))</f>
        <v>0</v>
      </c>
      <c r="AC29" s="16" t="n">
        <f aca="false">AA28*$C$16</f>
        <v>2125000</v>
      </c>
      <c r="AD29" s="16" t="n">
        <f aca="false">AB29+AC29</f>
        <v>2125000</v>
      </c>
      <c r="AE29" s="14" t="n">
        <f aca="false">1/(1+$C$19)*AE30</f>
        <v>0.0976078070487636</v>
      </c>
      <c r="AF29" s="14" t="n">
        <f aca="false">1/$C$19*(1-AE29)</f>
        <v>10.0265799216804</v>
      </c>
      <c r="AG29" s="16" t="n">
        <f aca="false">AG28+AI29</f>
        <v>19425435</v>
      </c>
      <c r="AH29" s="16" t="n">
        <f aca="false">AG28*$C$19</f>
        <v>1603935</v>
      </c>
      <c r="AI29" s="16" t="n">
        <f aca="false">AG28*$C$19-AL29-AK29+AN29-AN29</f>
        <v>1603935</v>
      </c>
      <c r="AJ29" s="16" t="n">
        <f aca="false">AI29+AJ28</f>
        <v>4425435</v>
      </c>
      <c r="AK29" s="16" t="n">
        <f aca="false">IF(AA29&gt;0,0,MINA(G29+H29-AB29,AG28))</f>
        <v>0</v>
      </c>
      <c r="AL29" s="16" t="n">
        <f aca="false">IF(AA29&gt;0,0,+AG28*$C$19)</f>
        <v>0</v>
      </c>
      <c r="AM29" s="16" t="n">
        <f aca="false">AK29+AL29</f>
        <v>0</v>
      </c>
      <c r="AN29" s="16"/>
      <c r="AO29" s="16" t="n">
        <f aca="false">G29+H29+K29-R29-X29-AD29-AM29</f>
        <v>1393884.99966792</v>
      </c>
    </row>
    <row r="30" customFormat="false" ht="12.75" hidden="false" customHeight="false" outlineLevel="0" collapsed="false">
      <c r="A30" s="13" t="n">
        <f aca="false">A29+1</f>
        <v>4</v>
      </c>
      <c r="B30" s="14" t="n">
        <f aca="false">1/(1+$C$3)*B31</f>
        <v>0.0839054528882401</v>
      </c>
      <c r="C30" s="14" t="n">
        <f aca="false">1/$C$3*(1-B30)</f>
        <v>9.1609454711176</v>
      </c>
      <c r="D30" s="15" t="n">
        <f aca="false">0.06*C4</f>
        <v>0.06</v>
      </c>
      <c r="E30" s="16" t="n">
        <f aca="false">E29-H30-G30</f>
        <v>83575098.6726048</v>
      </c>
      <c r="F30" s="16" t="n">
        <f aca="false">E29/C29</f>
        <v>9754473.59308005</v>
      </c>
      <c r="G30" s="16" t="n">
        <f aca="false">(E29-H30)*D30</f>
        <v>5334580.76633648</v>
      </c>
      <c r="H30" s="16" t="n">
        <f aca="false">F30-K30</f>
        <v>1194569.90537043</v>
      </c>
      <c r="I30" s="16" t="n">
        <f aca="false">E29*$C$5</f>
        <v>450521.246721559</v>
      </c>
      <c r="J30" s="16" t="n">
        <f aca="false">E29*C$3</f>
        <v>9010424.93443118</v>
      </c>
      <c r="K30" s="16" t="n">
        <f aca="false">J30-I30</f>
        <v>8559903.68770962</v>
      </c>
      <c r="L30" s="16" t="n">
        <f aca="false">MAXA(0,+E30-$C$7)</f>
        <v>79575098.6726048</v>
      </c>
      <c r="M30" s="14" t="n">
        <f aca="false">1/(1+$C$10)*M31</f>
        <v>0.135201763808253</v>
      </c>
      <c r="N30" s="14" t="n">
        <f aca="false">1/$C$10*(1-M30)</f>
        <v>10.8099779523968</v>
      </c>
      <c r="O30" s="16" t="n">
        <f aca="false">O29-P30</f>
        <v>3401374.52260485</v>
      </c>
      <c r="P30" s="16" t="n">
        <f aca="false">MAXA(0,MINA(G30+H30+AH30,O29))</f>
        <v>8277439.82170691</v>
      </c>
      <c r="Q30" s="16" t="n">
        <f aca="false">O29*$C$10</f>
        <v>934305.147544941</v>
      </c>
      <c r="R30" s="16" t="n">
        <f aca="false">P30+Q30</f>
        <v>9211744.96925185</v>
      </c>
      <c r="S30" s="14" t="n">
        <f aca="false">1/(1+$C$13)*S31</f>
        <v>0.127313503447712</v>
      </c>
      <c r="T30" s="14" t="n">
        <f aca="false">1/$C$13*(1-S30)</f>
        <v>10.5780181400277</v>
      </c>
      <c r="U30" s="16" t="n">
        <f aca="false">U29-V30</f>
        <v>30000000</v>
      </c>
      <c r="V30" s="16" t="n">
        <f aca="false">MAXA(0,MINA(G30+H30+AH30-P30,U29))</f>
        <v>0</v>
      </c>
      <c r="W30" s="16" t="n">
        <f aca="false">U29*$C$13</f>
        <v>2475000</v>
      </c>
      <c r="X30" s="16" t="n">
        <f aca="false">V30+W30</f>
        <v>2475000</v>
      </c>
      <c r="Y30" s="14" t="n">
        <f aca="false">1/(1+$C$16)*Y31</f>
        <v>0.119902104880442</v>
      </c>
      <c r="Z30" s="14" t="n">
        <f aca="false">1/$C$16*(1-Y30)</f>
        <v>10.3540928837595</v>
      </c>
      <c r="AA30" s="16" t="n">
        <f aca="false">AA29-AB30</f>
        <v>25000000</v>
      </c>
      <c r="AB30" s="16" t="n">
        <f aca="false">MAXA(0,MINA(+G30+H30+AH30-P30-V30,AA29))</f>
        <v>0</v>
      </c>
      <c r="AC30" s="16" t="n">
        <f aca="false">AA29*$C$16</f>
        <v>2125000</v>
      </c>
      <c r="AD30" s="16" t="n">
        <f aca="false">AB30+AC30</f>
        <v>2125000</v>
      </c>
      <c r="AE30" s="14" t="n">
        <f aca="false">1/(1+$C$19)*AE31</f>
        <v>0.106392509683152</v>
      </c>
      <c r="AF30" s="14" t="n">
        <f aca="false">1/$C$19*(1-AE30)</f>
        <v>9.92897211463164</v>
      </c>
      <c r="AG30" s="16" t="n">
        <f aca="false">AG29+AI30</f>
        <v>21173724.15</v>
      </c>
      <c r="AH30" s="16" t="n">
        <f aca="false">AG29*$C$19</f>
        <v>1748289.15</v>
      </c>
      <c r="AI30" s="16" t="n">
        <f aca="false">AG29*$C$19-AL30-AK30+AN30-AN30</f>
        <v>1748289.15</v>
      </c>
      <c r="AJ30" s="16" t="n">
        <f aca="false">AI30+AJ29</f>
        <v>6173724.15</v>
      </c>
      <c r="AK30" s="16" t="n">
        <f aca="false">IF(AA30&gt;0,0,MINA(G30+H30-AB30,AG29))</f>
        <v>0</v>
      </c>
      <c r="AL30" s="16" t="n">
        <f aca="false">IF(AA30&gt;0,0,+AG29*$C$19)</f>
        <v>0</v>
      </c>
      <c r="AM30" s="16" t="n">
        <f aca="false">AK30+AL30</f>
        <v>0</v>
      </c>
      <c r="AN30" s="16"/>
      <c r="AO30" s="16" t="n">
        <f aca="false">G30+H30+K30-R30-X30-AD30-AM30</f>
        <v>1277309.39016468</v>
      </c>
    </row>
    <row r="31" customFormat="false" ht="12.75" hidden="false" customHeight="false" outlineLevel="0" collapsed="false">
      <c r="A31" s="13" t="n">
        <f aca="false">A30+1</f>
        <v>5</v>
      </c>
      <c r="B31" s="14" t="n">
        <f aca="false">1/(1+$C$3)*B32</f>
        <v>0.0922959981770641</v>
      </c>
      <c r="C31" s="14" t="n">
        <f aca="false">1/$C$3*(1-B31)</f>
        <v>9.07704001822936</v>
      </c>
      <c r="D31" s="15" t="n">
        <f aca="false">D30</f>
        <v>0.06</v>
      </c>
      <c r="E31" s="16" t="n">
        <f aca="false">E30-H31-G31</f>
        <v>77448250.2895537</v>
      </c>
      <c r="F31" s="16" t="n">
        <f aca="false">E30/C30</f>
        <v>9122977.41931751</v>
      </c>
      <c r="G31" s="16" t="n">
        <f aca="false">(E30-H31)*D31</f>
        <v>4943505.33763109</v>
      </c>
      <c r="H31" s="16" t="n">
        <f aca="false">F31-K31</f>
        <v>1183343.04542005</v>
      </c>
      <c r="I31" s="16" t="n">
        <f aca="false">E30*$C$5</f>
        <v>417875.493363024</v>
      </c>
      <c r="J31" s="16" t="n">
        <f aca="false">E30*C$3</f>
        <v>8357509.86726048</v>
      </c>
      <c r="K31" s="16" t="n">
        <f aca="false">J31-I31</f>
        <v>7939634.37389746</v>
      </c>
      <c r="L31" s="16" t="n">
        <f aca="false">MAXA(0,+E31-$C$7)</f>
        <v>73448250.2895537</v>
      </c>
      <c r="M31" s="14" t="n">
        <f aca="false">1/(1+$C$10)*M32</f>
        <v>0.146017904912913</v>
      </c>
      <c r="N31" s="14" t="n">
        <f aca="false">1/$C$10*(1-M31)</f>
        <v>10.6747761885886</v>
      </c>
      <c r="O31" s="16" t="n">
        <f aca="false">O30-P31</f>
        <v>0</v>
      </c>
      <c r="P31" s="16" t="n">
        <f aca="false">MAXA(0,MINA(G31+H31+AH31,O30))</f>
        <v>3401374.52260485</v>
      </c>
      <c r="Q31" s="16" t="n">
        <f aca="false">O30*$C$10</f>
        <v>272109.961808388</v>
      </c>
      <c r="R31" s="16" t="n">
        <f aca="false">P31+Q31</f>
        <v>3673484.48441324</v>
      </c>
      <c r="S31" s="14" t="n">
        <f aca="false">1/(1+$C$13)*S32</f>
        <v>0.137816867482148</v>
      </c>
      <c r="T31" s="14" t="n">
        <f aca="false">1/$C$13*(1-S31)</f>
        <v>10.45070463658</v>
      </c>
      <c r="U31" s="16" t="n">
        <f aca="false">U30-V31</f>
        <v>25368890.9660537</v>
      </c>
      <c r="V31" s="16" t="n">
        <f aca="false">MAXA(0,MINA(G31+H31+AH31-P31,U30))</f>
        <v>4631109.03394628</v>
      </c>
      <c r="W31" s="16" t="n">
        <f aca="false">U30*$C$13</f>
        <v>2475000</v>
      </c>
      <c r="X31" s="16" t="n">
        <f aca="false">V31+W31</f>
        <v>7106109.03394628</v>
      </c>
      <c r="Y31" s="14" t="n">
        <f aca="false">1/(1+$C$16)*Y32</f>
        <v>0.13009378379528</v>
      </c>
      <c r="Z31" s="14" t="n">
        <f aca="false">1/$C$16*(1-Y31)</f>
        <v>10.2341907788791</v>
      </c>
      <c r="AA31" s="16" t="n">
        <f aca="false">AA30-AB31</f>
        <v>25000000</v>
      </c>
      <c r="AB31" s="16" t="n">
        <f aca="false">MAXA(0,MINA(+G31+H31+AH31-P31-V31,AA30))</f>
        <v>0</v>
      </c>
      <c r="AC31" s="16" t="n">
        <f aca="false">AA30*$C$16</f>
        <v>2125000</v>
      </c>
      <c r="AD31" s="16" t="n">
        <f aca="false">AB31+AC31</f>
        <v>2125000</v>
      </c>
      <c r="AE31" s="14" t="n">
        <f aca="false">1/(1+$C$19)*AE32</f>
        <v>0.115967835554636</v>
      </c>
      <c r="AF31" s="14" t="n">
        <f aca="false">1/$C$19*(1-AE31)</f>
        <v>9.82257960494849</v>
      </c>
      <c r="AG31" s="16" t="n">
        <f aca="false">AG30+AI31</f>
        <v>23079359.3235</v>
      </c>
      <c r="AH31" s="16" t="n">
        <f aca="false">AG30*$C$19</f>
        <v>1905635.1735</v>
      </c>
      <c r="AI31" s="16" t="n">
        <f aca="false">AG30*$C$19-AL31-AK31+AN31-AN31</f>
        <v>1905635.1735</v>
      </c>
      <c r="AJ31" s="16" t="n">
        <f aca="false">AI31+AJ30</f>
        <v>8079359.3235</v>
      </c>
      <c r="AK31" s="16" t="n">
        <f aca="false">IF(AA31&gt;0,0,MINA(G31+H31-AB31,AG30))</f>
        <v>0</v>
      </c>
      <c r="AL31" s="16" t="n">
        <f aca="false">IF(AA31&gt;0,0,+AG30*$C$19)</f>
        <v>0</v>
      </c>
      <c r="AM31" s="16" t="n">
        <f aca="false">AK31+AL31</f>
        <v>0</v>
      </c>
      <c r="AN31" s="16"/>
      <c r="AO31" s="16" t="n">
        <f aca="false">G31+H31+K31-R31-X31-AD31-AM31</f>
        <v>1161889.23858907</v>
      </c>
    </row>
    <row r="32" customFormat="false" ht="12.75" hidden="false" customHeight="false" outlineLevel="0" collapsed="false">
      <c r="A32" s="13" t="n">
        <f aca="false">A31+1</f>
        <v>6</v>
      </c>
      <c r="B32" s="14" t="n">
        <f aca="false">1/(1+$C$3)*B33</f>
        <v>0.101525597994771</v>
      </c>
      <c r="C32" s="14" t="n">
        <f aca="false">1/$C$3*(1-B32)</f>
        <v>8.9847440200523</v>
      </c>
      <c r="D32" s="15" t="n">
        <f aca="false">D31</f>
        <v>0.06</v>
      </c>
      <c r="E32" s="16" t="n">
        <f aca="false">E31-H32-G32</f>
        <v>71697099.0598807</v>
      </c>
      <c r="F32" s="16" t="n">
        <f aca="false">E31/C31</f>
        <v>8532324.42889035</v>
      </c>
      <c r="G32" s="16" t="n">
        <f aca="false">(E31-H32)*D32</f>
        <v>4576410.57829026</v>
      </c>
      <c r="H32" s="16" t="n">
        <f aca="false">F32-K32</f>
        <v>1174740.65138275</v>
      </c>
      <c r="I32" s="16" t="n">
        <f aca="false">E31*$C$5</f>
        <v>387241.251447768</v>
      </c>
      <c r="J32" s="16" t="n">
        <f aca="false">E31*C$3</f>
        <v>7744825.02895537</v>
      </c>
      <c r="K32" s="16" t="n">
        <f aca="false">J32-I32</f>
        <v>7357583.7775076</v>
      </c>
      <c r="L32" s="16" t="n">
        <f aca="false">MAXA(0,+E32-$C$7)</f>
        <v>67697099.0598807</v>
      </c>
      <c r="M32" s="14" t="n">
        <f aca="false">1/(1+$C$10)*M33</f>
        <v>0.157699337305946</v>
      </c>
      <c r="N32" s="14" t="n">
        <f aca="false">1/$C$10*(1-M32)</f>
        <v>10.5287582836757</v>
      </c>
      <c r="O32" s="16" t="n">
        <f aca="false">O31-P32</f>
        <v>0</v>
      </c>
      <c r="P32" s="16" t="n">
        <f aca="false">MAXA(0,MINA(G32+H32+AH32,O31))</f>
        <v>0</v>
      </c>
      <c r="Q32" s="16" t="n">
        <f aca="false">O31*$C$10</f>
        <v>0</v>
      </c>
      <c r="R32" s="16" t="n">
        <f aca="false">P32+Q32</f>
        <v>0</v>
      </c>
      <c r="S32" s="14" t="n">
        <f aca="false">1/(1+$C$13)*S33</f>
        <v>0.149186759049425</v>
      </c>
      <c r="T32" s="14" t="n">
        <f aca="false">1/$C$13*(1-S32)</f>
        <v>10.3128877690979</v>
      </c>
      <c r="U32" s="16" t="n">
        <f aca="false">U31-V32</f>
        <v>17540597.3972657</v>
      </c>
      <c r="V32" s="16" t="n">
        <f aca="false">MAXA(0,MINA(G32+H32+AH32-P32,U31))</f>
        <v>7828293.56878801</v>
      </c>
      <c r="W32" s="16" t="n">
        <f aca="false">U31*$C$13</f>
        <v>2092933.50469943</v>
      </c>
      <c r="X32" s="16" t="n">
        <f aca="false">V32+W32</f>
        <v>9921227.07348744</v>
      </c>
      <c r="Y32" s="14" t="n">
        <f aca="false">1/(1+$C$16)*Y33</f>
        <v>0.141151755417878</v>
      </c>
      <c r="Z32" s="14" t="n">
        <f aca="false">1/$C$16*(1-Y32)</f>
        <v>10.1040969950838</v>
      </c>
      <c r="AA32" s="16" t="n">
        <f aca="false">AA31-AB32</f>
        <v>25000000</v>
      </c>
      <c r="AB32" s="16" t="n">
        <f aca="false">MAXA(0,MINA(+G32+H32+AH32-P32-V32,AA31))</f>
        <v>0</v>
      </c>
      <c r="AC32" s="16" t="n">
        <f aca="false">AA31*$C$16</f>
        <v>2125000</v>
      </c>
      <c r="AD32" s="16" t="n">
        <f aca="false">AB32+AC32</f>
        <v>2125000</v>
      </c>
      <c r="AE32" s="14" t="n">
        <f aca="false">1/(1+$C$19)*AE33</f>
        <v>0.126404940754553</v>
      </c>
      <c r="AF32" s="14" t="n">
        <f aca="false">1/$C$19*(1-AE32)</f>
        <v>9.70661176939385</v>
      </c>
      <c r="AG32" s="16" t="n">
        <f aca="false">AG31+AI32</f>
        <v>25156501.662615</v>
      </c>
      <c r="AH32" s="16" t="n">
        <f aca="false">AG31*$C$19</f>
        <v>2077142.339115</v>
      </c>
      <c r="AI32" s="16" t="n">
        <f aca="false">AG31*$C$19-AL32-AK32+AN32-AN32</f>
        <v>2077142.339115</v>
      </c>
      <c r="AJ32" s="16" t="n">
        <f aca="false">AI32+AJ31</f>
        <v>10156501.662615</v>
      </c>
      <c r="AK32" s="16" t="n">
        <f aca="false">IF(AA32&gt;0,0,MINA(G32+H32-AB32,AG31))</f>
        <v>0</v>
      </c>
      <c r="AL32" s="16" t="n">
        <f aca="false">IF(AA32&gt;0,0,+AG31*$C$19)</f>
        <v>0</v>
      </c>
      <c r="AM32" s="16" t="n">
        <f aca="false">AK32+AL32</f>
        <v>0</v>
      </c>
      <c r="AN32" s="16"/>
      <c r="AO32" s="16" t="n">
        <f aca="false">G32+H32+K32-R32-X32-AD32-AM32</f>
        <v>1062507.93369317</v>
      </c>
    </row>
    <row r="33" customFormat="false" ht="12.75" hidden="false" customHeight="false" outlineLevel="0" collapsed="false">
      <c r="A33" s="13" t="n">
        <f aca="false">A32+1</f>
        <v>7</v>
      </c>
      <c r="B33" s="14" t="n">
        <f aca="false">1/(1+$C$3)*B34</f>
        <v>0.111678157794248</v>
      </c>
      <c r="C33" s="14" t="n">
        <f aca="false">1/$C$3*(1-B33)</f>
        <v>8.88321842205752</v>
      </c>
      <c r="D33" s="15" t="n">
        <f aca="false">D32</f>
        <v>0.06</v>
      </c>
      <c r="E33" s="16" t="n">
        <f aca="false">E32-H33-G33</f>
        <v>66296745.2373988</v>
      </c>
      <c r="F33" s="16" t="n">
        <f aca="false">E32/C32</f>
        <v>7979871.09035783</v>
      </c>
      <c r="G33" s="16" t="n">
        <f aca="false">(E32-H33)*D33</f>
        <v>4231707.14281269</v>
      </c>
      <c r="H33" s="16" t="n">
        <f aca="false">F33-K33</f>
        <v>1168646.67966916</v>
      </c>
      <c r="I33" s="16" t="n">
        <f aca="false">E32*$C$5</f>
        <v>358485.495299403</v>
      </c>
      <c r="J33" s="16" t="n">
        <f aca="false">E32*C$3</f>
        <v>7169709.90598807</v>
      </c>
      <c r="K33" s="16" t="n">
        <f aca="false">J33-I33</f>
        <v>6811224.41068866</v>
      </c>
      <c r="L33" s="16" t="n">
        <f aca="false">MAXA(0,+E33-$C$7)</f>
        <v>62296745.2373988</v>
      </c>
      <c r="M33" s="14" t="n">
        <f aca="false">1/(1+$C$10)*M34</f>
        <v>0.170315284290422</v>
      </c>
      <c r="N33" s="14" t="n">
        <f aca="false">1/$C$10*(1-M33)</f>
        <v>10.3710589463697</v>
      </c>
      <c r="O33" s="16" t="n">
        <f aca="false">O32-P33</f>
        <v>0</v>
      </c>
      <c r="P33" s="16" t="n">
        <f aca="false">MAXA(0,MINA(G33+H33+AH33,O32))</f>
        <v>0</v>
      </c>
      <c r="Q33" s="16" t="n">
        <f aca="false">O32*$C$10</f>
        <v>0</v>
      </c>
      <c r="R33" s="16" t="n">
        <f aca="false">P33+Q33</f>
        <v>0</v>
      </c>
      <c r="S33" s="14" t="n">
        <f aca="false">1/(1+$C$13)*S34</f>
        <v>0.161494666671003</v>
      </c>
      <c r="T33" s="14" t="n">
        <f aca="false">1/$C$13*(1-S33)</f>
        <v>10.1637010100485</v>
      </c>
      <c r="U33" s="16" t="n">
        <f aca="false">U32-V33</f>
        <v>9876158.42514851</v>
      </c>
      <c r="V33" s="16" t="n">
        <f aca="false">MAXA(0,MINA(G33+H33+AH33-P33,U32))</f>
        <v>7664438.9721172</v>
      </c>
      <c r="W33" s="16" t="n">
        <f aca="false">U32*$C$13</f>
        <v>1447099.28527442</v>
      </c>
      <c r="X33" s="16" t="n">
        <f aca="false">V33+W33</f>
        <v>9111538.25739163</v>
      </c>
      <c r="Y33" s="14" t="n">
        <f aca="false">1/(1+$C$16)*Y34</f>
        <v>0.153149654628398</v>
      </c>
      <c r="Z33" s="14" t="n">
        <f aca="false">1/$C$16*(1-Y33)</f>
        <v>9.96294523966591</v>
      </c>
      <c r="AA33" s="16" t="n">
        <f aca="false">AA32-AB33</f>
        <v>25000000</v>
      </c>
      <c r="AB33" s="16" t="n">
        <f aca="false">MAXA(0,MINA(+G33+H33+AH33-P33-V33,AA32))</f>
        <v>0</v>
      </c>
      <c r="AC33" s="16" t="n">
        <f aca="false">AA32*$C$16</f>
        <v>2125000</v>
      </c>
      <c r="AD33" s="16" t="n">
        <f aca="false">AB33+AC33</f>
        <v>2125000</v>
      </c>
      <c r="AE33" s="14" t="n">
        <f aca="false">1/(1+$C$19)*AE34</f>
        <v>0.137781385422463</v>
      </c>
      <c r="AF33" s="14" t="n">
        <f aca="false">1/$C$19*(1-AE33)</f>
        <v>9.5802068286393</v>
      </c>
      <c r="AG33" s="16" t="n">
        <f aca="false">AG32+AI33</f>
        <v>27420586.8122504</v>
      </c>
      <c r="AH33" s="16" t="n">
        <f aca="false">AG32*$C$19</f>
        <v>2264085.14963535</v>
      </c>
      <c r="AI33" s="16" t="n">
        <f aca="false">AG32*$C$19-AL33-AK33+AN33-AN33</f>
        <v>2264085.14963535</v>
      </c>
      <c r="AJ33" s="16" t="n">
        <f aca="false">AI33+AJ32</f>
        <v>12420586.8122504</v>
      </c>
      <c r="AK33" s="16" t="n">
        <f aca="false">IF(AA33&gt;0,0,MINA(G33+H33-AB33,AG32))</f>
        <v>0</v>
      </c>
      <c r="AL33" s="16" t="n">
        <f aca="false">IF(AA33&gt;0,0,+AG32*$C$19)</f>
        <v>0</v>
      </c>
      <c r="AM33" s="16" t="n">
        <f aca="false">AK33+AL33</f>
        <v>0</v>
      </c>
      <c r="AN33" s="16"/>
      <c r="AO33" s="16" t="n">
        <f aca="false">G33+H33+K33-R33-X33-AD33-AM33</f>
        <v>975039.975778891</v>
      </c>
    </row>
    <row r="34" customFormat="false" ht="12.75" hidden="false" customHeight="false" outlineLevel="0" collapsed="false">
      <c r="A34" s="13" t="n">
        <f aca="false">A33+1</f>
        <v>8</v>
      </c>
      <c r="B34" s="14" t="n">
        <f aca="false">1/(1+$C$3)*B35</f>
        <v>0.122845973573672</v>
      </c>
      <c r="C34" s="14" t="n">
        <f aca="false">1/$C$3*(1-B34)</f>
        <v>8.77154026426328</v>
      </c>
      <c r="D34" s="15" t="n">
        <f aca="false">D33</f>
        <v>0.06</v>
      </c>
      <c r="E34" s="16" t="n">
        <f aca="false">E33-H34-G34</f>
        <v>61223883.7752928</v>
      </c>
      <c r="F34" s="16" t="n">
        <f aca="false">E33/C33</f>
        <v>7463144.78464025</v>
      </c>
      <c r="G34" s="16" t="n">
        <f aca="false">(E33-H34)*D34</f>
        <v>3907907.47501869</v>
      </c>
      <c r="H34" s="16" t="n">
        <f aca="false">F34-K34</f>
        <v>1164953.98708736</v>
      </c>
      <c r="I34" s="16" t="n">
        <f aca="false">E33*$C$5</f>
        <v>331483.726186994</v>
      </c>
      <c r="J34" s="16" t="n">
        <f aca="false">E33*C$3</f>
        <v>6629674.52373988</v>
      </c>
      <c r="K34" s="16" t="n">
        <f aca="false">J34-I34</f>
        <v>6298190.79755289</v>
      </c>
      <c r="L34" s="16" t="n">
        <f aca="false">MAXA(0,+E34-$C$7)</f>
        <v>57223883.7752928</v>
      </c>
      <c r="M34" s="14" t="n">
        <f aca="false">1/(1+$C$10)*M35</f>
        <v>0.183940507033656</v>
      </c>
      <c r="N34" s="14" t="n">
        <f aca="false">1/$C$10*(1-M34)</f>
        <v>10.2007436620793</v>
      </c>
      <c r="O34" s="16" t="n">
        <f aca="false">O33-P34</f>
        <v>0</v>
      </c>
      <c r="P34" s="16" t="n">
        <f aca="false">MAXA(0,MINA(G34+H34+AH34,O33))</f>
        <v>0</v>
      </c>
      <c r="Q34" s="16" t="n">
        <f aca="false">O33*$C$10</f>
        <v>0</v>
      </c>
      <c r="R34" s="16" t="n">
        <f aca="false">P34+Q34</f>
        <v>0</v>
      </c>
      <c r="S34" s="14" t="n">
        <f aca="false">1/(1+$C$13)*S35</f>
        <v>0.17481797667136</v>
      </c>
      <c r="T34" s="14" t="n">
        <f aca="false">1/$C$13*(1-S34)</f>
        <v>10.0022063433774</v>
      </c>
      <c r="U34" s="16" t="n">
        <f aca="false">U33-V34</f>
        <v>2335444.14993992</v>
      </c>
      <c r="V34" s="16" t="n">
        <f aca="false">MAXA(0,MINA(G34+H34+AH34-P34,U33))</f>
        <v>7540714.27520858</v>
      </c>
      <c r="W34" s="16" t="n">
        <f aca="false">U33*$C$13</f>
        <v>814783.070074752</v>
      </c>
      <c r="X34" s="16" t="n">
        <f aca="false">V34+W34</f>
        <v>8355497.34528334</v>
      </c>
      <c r="Y34" s="14" t="n">
        <f aca="false">1/(1+$C$16)*Y35</f>
        <v>0.166167375271812</v>
      </c>
      <c r="Z34" s="14" t="n">
        <f aca="false">1/$C$16*(1-Y34)</f>
        <v>9.80979558503751</v>
      </c>
      <c r="AA34" s="16" t="n">
        <f aca="false">AA33-AB34</f>
        <v>25000000</v>
      </c>
      <c r="AB34" s="16" t="n">
        <f aca="false">MAXA(0,MINA(+G34+H34+AH34-P34-V34,AA33))</f>
        <v>0</v>
      </c>
      <c r="AC34" s="16" t="n">
        <f aca="false">AA33*$C$16</f>
        <v>2125000</v>
      </c>
      <c r="AD34" s="16" t="n">
        <f aca="false">AB34+AC34</f>
        <v>2125000</v>
      </c>
      <c r="AE34" s="14" t="n">
        <f aca="false">1/(1+$C$19)*AE35</f>
        <v>0.150181710110485</v>
      </c>
      <c r="AF34" s="14" t="n">
        <f aca="false">1/$C$19*(1-AE34)</f>
        <v>9.44242544321684</v>
      </c>
      <c r="AG34" s="16" t="n">
        <f aca="false">AG33+AI34</f>
        <v>29888439.6253529</v>
      </c>
      <c r="AH34" s="16" t="n">
        <f aca="false">AG33*$C$19</f>
        <v>2467852.81310253</v>
      </c>
      <c r="AI34" s="16" t="n">
        <f aca="false">AG33*$C$19-AL34-AK34+AN34-AN34</f>
        <v>2467852.81310253</v>
      </c>
      <c r="AJ34" s="16" t="n">
        <f aca="false">AI34+AJ33</f>
        <v>14888439.6253529</v>
      </c>
      <c r="AK34" s="16" t="n">
        <f aca="false">IF(AA34&gt;0,0,MINA(G34+H34-AB34,AG33))</f>
        <v>0</v>
      </c>
      <c r="AL34" s="16" t="n">
        <f aca="false">IF(AA34&gt;0,0,+AG33*$C$19)</f>
        <v>0</v>
      </c>
      <c r="AM34" s="16" t="n">
        <f aca="false">AK34+AL34</f>
        <v>0</v>
      </c>
      <c r="AN34" s="16"/>
      <c r="AO34" s="16" t="n">
        <f aca="false">G34+H34+K34-R34-X34-AD34-AM34</f>
        <v>890554.914375605</v>
      </c>
    </row>
    <row r="35" customFormat="false" ht="12.75" hidden="false" customHeight="false" outlineLevel="0" collapsed="false">
      <c r="A35" s="13" t="n">
        <f aca="false">A34+1</f>
        <v>9</v>
      </c>
      <c r="B35" s="14" t="n">
        <f aca="false">1/(1+$C$3)*B36</f>
        <v>0.13513057093104</v>
      </c>
      <c r="C35" s="14" t="n">
        <f aca="false">1/$C$3*(1-B35)</f>
        <v>8.6486942906896</v>
      </c>
      <c r="D35" s="15" t="n">
        <f aca="false">D34</f>
        <v>0.06</v>
      </c>
      <c r="E35" s="16" t="n">
        <f aca="false">E34-H35-G35</f>
        <v>56456700.8094663</v>
      </c>
      <c r="F35" s="16" t="n">
        <f aca="false">E34/C34</f>
        <v>6979832.72387509</v>
      </c>
      <c r="G35" s="16" t="n">
        <f aca="false">(E34-H35)*D35</f>
        <v>3603619.20060423</v>
      </c>
      <c r="H35" s="16" t="n">
        <f aca="false">F35-K35</f>
        <v>1163563.76522228</v>
      </c>
      <c r="I35" s="16" t="n">
        <f aca="false">E34*$C$5</f>
        <v>306119.418876464</v>
      </c>
      <c r="J35" s="16" t="n">
        <f aca="false">E34*C$3</f>
        <v>6122388.37752928</v>
      </c>
      <c r="K35" s="16" t="n">
        <f aca="false">J35-I35</f>
        <v>5816268.95865282</v>
      </c>
      <c r="L35" s="16" t="n">
        <f aca="false">MAXA(0,+E35-$C$7)</f>
        <v>52456700.8094663</v>
      </c>
      <c r="M35" s="14" t="n">
        <f aca="false">1/(1+$C$10)*M36</f>
        <v>0.198655747596348</v>
      </c>
      <c r="N35" s="14" t="n">
        <f aca="false">1/$C$10*(1-M35)</f>
        <v>10.0168031550456</v>
      </c>
      <c r="O35" s="16" t="n">
        <f aca="false">O34-P35</f>
        <v>0</v>
      </c>
      <c r="P35" s="16" t="n">
        <f aca="false">MAXA(0,MINA(G35+H35+AH35,O34))</f>
        <v>0</v>
      </c>
      <c r="Q35" s="16" t="n">
        <f aca="false">O34*$C$10</f>
        <v>0</v>
      </c>
      <c r="R35" s="16" t="n">
        <f aca="false">P35+Q35</f>
        <v>0</v>
      </c>
      <c r="S35" s="14" t="n">
        <f aca="false">1/(1+$C$13)*S36</f>
        <v>0.189240459746748</v>
      </c>
      <c r="T35" s="14" t="n">
        <f aca="false">1/$C$13*(1-S35)</f>
        <v>9.82738836670609</v>
      </c>
      <c r="U35" s="16" t="n">
        <f aca="false">U34-V35</f>
        <v>0</v>
      </c>
      <c r="V35" s="16" t="n">
        <f aca="false">MAXA(0,MINA(G35+H35+AH35-P35,U34))</f>
        <v>2335444.14993992</v>
      </c>
      <c r="W35" s="16" t="n">
        <f aca="false">U34*$C$13</f>
        <v>192674.142370044</v>
      </c>
      <c r="X35" s="16" t="n">
        <f aca="false">V35+W35</f>
        <v>2528118.29230997</v>
      </c>
      <c r="Y35" s="14" t="n">
        <f aca="false">1/(1+$C$16)*Y36</f>
        <v>0.180291602169916</v>
      </c>
      <c r="Z35" s="14" t="n">
        <f aca="false">1/$C$16*(1-Y35)</f>
        <v>9.6436282097657</v>
      </c>
      <c r="AA35" s="16" t="n">
        <f aca="false">AA34-AB35</f>
        <v>19878301.6178317</v>
      </c>
      <c r="AB35" s="16" t="n">
        <f aca="false">MAXA(0,MINA(+G35+H35+AH35-P35-V35,AA34))</f>
        <v>5121698.38216834</v>
      </c>
      <c r="AC35" s="16" t="n">
        <f aca="false">AA34*$C$16</f>
        <v>2125000</v>
      </c>
      <c r="AD35" s="16" t="n">
        <f aca="false">AB35+AC35</f>
        <v>7246698.38216834</v>
      </c>
      <c r="AE35" s="14" t="n">
        <f aca="false">1/(1+$C$19)*AE36</f>
        <v>0.163698064020428</v>
      </c>
      <c r="AF35" s="14" t="n">
        <f aca="false">1/$C$19*(1-AE35)</f>
        <v>9.29224373310635</v>
      </c>
      <c r="AG35" s="16" t="n">
        <f aca="false">AG34+AI35</f>
        <v>32578399.1916346</v>
      </c>
      <c r="AH35" s="16" t="n">
        <f aca="false">AG34*$C$19</f>
        <v>2689959.56628176</v>
      </c>
      <c r="AI35" s="16" t="n">
        <f aca="false">AG34*$C$19-AL35-AK35+AN35-AN35</f>
        <v>2689959.56628176</v>
      </c>
      <c r="AJ35" s="16" t="n">
        <f aca="false">AI35+AJ34</f>
        <v>17578399.1916346</v>
      </c>
      <c r="AK35" s="16" t="n">
        <f aca="false">IF(AA35&gt;0,0,MINA(G35+H35-AB35,AG34))</f>
        <v>0</v>
      </c>
      <c r="AL35" s="16" t="n">
        <f aca="false">IF(AA35&gt;0,0,+AG34*$C$19)</f>
        <v>0</v>
      </c>
      <c r="AM35" s="16" t="n">
        <f aca="false">AK35+AL35</f>
        <v>0</v>
      </c>
      <c r="AN35" s="16"/>
      <c r="AO35" s="16" t="n">
        <f aca="false">G35+H35+K35-R35-X35-AD35-AM35</f>
        <v>808635.250001012</v>
      </c>
    </row>
    <row r="36" customFormat="false" ht="12.75" hidden="false" customHeight="false" outlineLevel="0" collapsed="false">
      <c r="A36" s="13" t="n">
        <f aca="false">A35+1</f>
        <v>10</v>
      </c>
      <c r="B36" s="14" t="n">
        <f aca="false">1/(1+$C$3)*B37</f>
        <v>0.148643628024144</v>
      </c>
      <c r="C36" s="14" t="n">
        <f aca="false">1/$C$3*(1-B36)</f>
        <v>8.51356371975857</v>
      </c>
      <c r="D36" s="15" t="n">
        <f aca="false">D35</f>
        <v>0.06</v>
      </c>
      <c r="E36" s="16" t="n">
        <f aca="false">E35-H36-G36</f>
        <v>51974776.8563974</v>
      </c>
      <c r="F36" s="16" t="n">
        <f aca="false">E35/C35</f>
        <v>6527771.58168747</v>
      </c>
      <c r="G36" s="16" t="n">
        <f aca="false">(E35-H36)*D36</f>
        <v>3317538.94828069</v>
      </c>
      <c r="H36" s="16" t="n">
        <f aca="false">F36-K36</f>
        <v>1164385.00478817</v>
      </c>
      <c r="I36" s="16" t="n">
        <f aca="false">E35*$C$5</f>
        <v>282283.504047331</v>
      </c>
      <c r="J36" s="16" t="n">
        <f aca="false">E35*C$3</f>
        <v>5645670.08094663</v>
      </c>
      <c r="K36" s="16" t="n">
        <f aca="false">J36-I36</f>
        <v>5363386.5768993</v>
      </c>
      <c r="L36" s="16" t="n">
        <f aca="false">MAXA(0,+E36-$C$7)</f>
        <v>47974776.8563974</v>
      </c>
      <c r="M36" s="14" t="n">
        <f aca="false">1/(1+$C$10)*M37</f>
        <v>0.214548207404056</v>
      </c>
      <c r="N36" s="14" t="n">
        <f aca="false">1/$C$10*(1-M36)</f>
        <v>9.8181474074493</v>
      </c>
      <c r="O36" s="16" t="n">
        <f aca="false">O35-P36</f>
        <v>0</v>
      </c>
      <c r="P36" s="16" t="n">
        <f aca="false">MAXA(0,MINA(G36+H36+AH36,O35))</f>
        <v>0</v>
      </c>
      <c r="Q36" s="16" t="n">
        <f aca="false">O35*$C$10</f>
        <v>0</v>
      </c>
      <c r="R36" s="16" t="n">
        <f aca="false">P36+Q36</f>
        <v>0</v>
      </c>
      <c r="S36" s="14" t="n">
        <f aca="false">1/(1+$C$13)*S37</f>
        <v>0.204852797675854</v>
      </c>
      <c r="T36" s="14" t="n">
        <f aca="false">1/$C$13*(1-S36)</f>
        <v>9.63814790695934</v>
      </c>
      <c r="U36" s="16" t="n">
        <f aca="false">U35-V36</f>
        <v>0</v>
      </c>
      <c r="V36" s="16" t="n">
        <f aca="false">MAXA(0,MINA(G36+H36+AH36-P36,U35))</f>
        <v>0</v>
      </c>
      <c r="W36" s="16" t="n">
        <f aca="false">U35*$C$13</f>
        <v>0</v>
      </c>
      <c r="X36" s="16" t="n">
        <f aca="false">V36+W36</f>
        <v>0</v>
      </c>
      <c r="Y36" s="14" t="n">
        <f aca="false">1/(1+$C$16)*Y37</f>
        <v>0.195616388354359</v>
      </c>
      <c r="Z36" s="14" t="n">
        <f aca="false">1/$C$16*(1-Y36)</f>
        <v>9.46333660759578</v>
      </c>
      <c r="AA36" s="16" t="n">
        <f aca="false">AA35-AB36</f>
        <v>12464321.7375157</v>
      </c>
      <c r="AB36" s="16" t="n">
        <f aca="false">MAXA(0,MINA(+G36+H36+AH36-P36-V36,AA35))</f>
        <v>7413979.88031598</v>
      </c>
      <c r="AC36" s="16" t="n">
        <f aca="false">AA35*$C$16</f>
        <v>1689655.63751569</v>
      </c>
      <c r="AD36" s="16" t="n">
        <f aca="false">AB36+AC36</f>
        <v>9103635.51783167</v>
      </c>
      <c r="AE36" s="14" t="n">
        <f aca="false">1/(1+$C$19)*AE37</f>
        <v>0.178430889782267</v>
      </c>
      <c r="AF36" s="14" t="n">
        <f aca="false">1/$C$19*(1-AE36)</f>
        <v>9.12854566908592</v>
      </c>
      <c r="AG36" s="16" t="n">
        <f aca="false">AG35+AI36</f>
        <v>35510455.1188818</v>
      </c>
      <c r="AH36" s="16" t="n">
        <f aca="false">AG35*$C$19</f>
        <v>2932055.92724712</v>
      </c>
      <c r="AI36" s="16" t="n">
        <f aca="false">AG35*$C$19-AL36-AK36+AN36-AN36</f>
        <v>2932055.92724712</v>
      </c>
      <c r="AJ36" s="16" t="n">
        <f aca="false">AI36+AJ35</f>
        <v>20510455.1188818</v>
      </c>
      <c r="AK36" s="16" t="n">
        <f aca="false">IF(AA36&gt;0,0,MINA(G36+H36-AB36,AG35))</f>
        <v>0</v>
      </c>
      <c r="AL36" s="16" t="n">
        <f aca="false">IF(AA36&gt;0,0,+AG35*$C$19)</f>
        <v>0</v>
      </c>
      <c r="AM36" s="16" t="n">
        <f aca="false">AK36+AL36</f>
        <v>0</v>
      </c>
      <c r="AN36" s="16"/>
      <c r="AO36" s="16" t="n">
        <f aca="false">G36+H36+K36-R36-X36-AD36-AM36</f>
        <v>741675.012136489</v>
      </c>
    </row>
    <row r="37" customFormat="false" ht="12.75" hidden="false" customHeight="false" outlineLevel="0" collapsed="false">
      <c r="A37" s="13" t="n">
        <f aca="false">A36+1</f>
        <v>11</v>
      </c>
      <c r="B37" s="14" t="n">
        <f aca="false">1/(1+$C$3)*B38</f>
        <v>0.163507990826558</v>
      </c>
      <c r="C37" s="14" t="n">
        <f aca="false">1/$C$3*(1-B37)</f>
        <v>8.36492009173442</v>
      </c>
      <c r="D37" s="15" t="n">
        <f aca="false">D36</f>
        <v>0.06</v>
      </c>
      <c r="E37" s="16" t="n">
        <f aca="false">E36-H37-G37</f>
        <v>47758996.298332</v>
      </c>
      <c r="F37" s="16" t="n">
        <f aca="false">E36/C36</f>
        <v>6104937.78718924</v>
      </c>
      <c r="G37" s="16" t="n">
        <f aca="false">(E36-H37)*D37</f>
        <v>3048446.57223396</v>
      </c>
      <c r="H37" s="16" t="n">
        <f aca="false">F37-K37</f>
        <v>1167333.98583148</v>
      </c>
      <c r="I37" s="16" t="n">
        <f aca="false">E36*$C$5</f>
        <v>259873.884281987</v>
      </c>
      <c r="J37" s="16" t="n">
        <f aca="false">E36*C$3</f>
        <v>5197477.68563974</v>
      </c>
      <c r="K37" s="16" t="n">
        <f aca="false">J37-I37</f>
        <v>4937603.80135775</v>
      </c>
      <c r="L37" s="16" t="n">
        <f aca="false">MAXA(0,+E37-$C$7)</f>
        <v>43758996.298332</v>
      </c>
      <c r="M37" s="14" t="n">
        <f aca="false">1/(1+$C$10)*M38</f>
        <v>0.231712063996381</v>
      </c>
      <c r="N37" s="14" t="n">
        <f aca="false">1/$C$10*(1-M37)</f>
        <v>9.60359920004524</v>
      </c>
      <c r="O37" s="16" t="n">
        <f aca="false">O36-P37</f>
        <v>0</v>
      </c>
      <c r="P37" s="16" t="n">
        <f aca="false">MAXA(0,MINA(G37+H37+AH37,O36))</f>
        <v>0</v>
      </c>
      <c r="Q37" s="16" t="n">
        <f aca="false">O36*$C$10</f>
        <v>0</v>
      </c>
      <c r="R37" s="16" t="n">
        <f aca="false">P37+Q37</f>
        <v>0</v>
      </c>
      <c r="S37" s="14" t="n">
        <f aca="false">1/(1+$C$13)*S38</f>
        <v>0.221753153484112</v>
      </c>
      <c r="T37" s="14" t="n">
        <f aca="false">1/$C$13*(1-S37)</f>
        <v>9.43329510928349</v>
      </c>
      <c r="U37" s="16" t="n">
        <f aca="false">U36-V37</f>
        <v>0</v>
      </c>
      <c r="V37" s="16" t="n">
        <f aca="false">MAXA(0,MINA(G37+H37+AH37-P37,U36))</f>
        <v>0</v>
      </c>
      <c r="W37" s="16" t="n">
        <f aca="false">U36*$C$13</f>
        <v>0</v>
      </c>
      <c r="X37" s="16" t="n">
        <f aca="false">V37+W37</f>
        <v>0</v>
      </c>
      <c r="Y37" s="14" t="n">
        <f aca="false">1/(1+$C$16)*Y38</f>
        <v>0.212243781364479</v>
      </c>
      <c r="Z37" s="14" t="n">
        <f aca="false">1/$C$16*(1-Y37)</f>
        <v>9.26772021924142</v>
      </c>
      <c r="AA37" s="16" t="n">
        <f aca="false">AA36-AB37</f>
        <v>5052600.21875089</v>
      </c>
      <c r="AB37" s="16" t="n">
        <f aca="false">MAXA(0,MINA(+G37+H37+AH37-P37-V37,AA36))</f>
        <v>7411721.5187648</v>
      </c>
      <c r="AC37" s="16" t="n">
        <f aca="false">AA36*$C$16</f>
        <v>1059467.34768883</v>
      </c>
      <c r="AD37" s="16" t="n">
        <f aca="false">AB37+AC37</f>
        <v>8471188.86645363</v>
      </c>
      <c r="AE37" s="14" t="n">
        <f aca="false">1/(1+$C$19)*AE38</f>
        <v>0.194489669862671</v>
      </c>
      <c r="AF37" s="14" t="n">
        <f aca="false">1/$C$19*(1-AE37)</f>
        <v>8.95011477930366</v>
      </c>
      <c r="AG37" s="16" t="n">
        <f aca="false">AG36+AI37</f>
        <v>38706396.0795811</v>
      </c>
      <c r="AH37" s="16" t="n">
        <f aca="false">AG36*$C$19</f>
        <v>3195940.96069936</v>
      </c>
      <c r="AI37" s="16" t="n">
        <f aca="false">AG36*$C$19-AL37-AK37+AN37-AN37</f>
        <v>3195940.96069936</v>
      </c>
      <c r="AJ37" s="16" t="n">
        <f aca="false">AI37+AJ36</f>
        <v>23706396.0795811</v>
      </c>
      <c r="AK37" s="16" t="n">
        <f aca="false">IF(AA37&gt;0,0,MINA(G37+H37-AB37,AG36))</f>
        <v>0</v>
      </c>
      <c r="AL37" s="16" t="n">
        <f aca="false">IF(AA37&gt;0,0,+AG36*$C$19)</f>
        <v>0</v>
      </c>
      <c r="AM37" s="16" t="n">
        <f aca="false">AK37+AL37</f>
        <v>0</v>
      </c>
      <c r="AN37" s="16"/>
      <c r="AO37" s="16" t="n">
        <f aca="false">G37+H37+K37-R37-X37-AD37-AM37</f>
        <v>682195.492969563</v>
      </c>
    </row>
    <row r="38" customFormat="false" ht="12.75" hidden="false" customHeight="false" outlineLevel="0" collapsed="false">
      <c r="A38" s="13" t="n">
        <f aca="false">A37+1</f>
        <v>12</v>
      </c>
      <c r="B38" s="14" t="n">
        <f aca="false">1/(1+$C$3)*B39</f>
        <v>0.179858789909214</v>
      </c>
      <c r="C38" s="14" t="n">
        <f aca="false">1/$C$3*(1-B38)</f>
        <v>8.20141210090786</v>
      </c>
      <c r="D38" s="15" t="n">
        <f aca="false">D37</f>
        <v>0.06</v>
      </c>
      <c r="E38" s="16" t="n">
        <f aca="false">E37-H38-G38</f>
        <v>43791462.7586268</v>
      </c>
      <c r="F38" s="16" t="n">
        <f aca="false">E37/C37</f>
        <v>5709438.43749611</v>
      </c>
      <c r="G38" s="16" t="n">
        <f aca="false">(E37-H38)*D38</f>
        <v>2795199.75055064</v>
      </c>
      <c r="H38" s="16" t="n">
        <f aca="false">F38-K38</f>
        <v>1172333.78915457</v>
      </c>
      <c r="I38" s="16" t="n">
        <f aca="false">E37*$C$5</f>
        <v>238794.98149166</v>
      </c>
      <c r="J38" s="16" t="n">
        <f aca="false">E37*C$3</f>
        <v>4775899.6298332</v>
      </c>
      <c r="K38" s="16" t="n">
        <f aca="false">J38-I38</f>
        <v>4537104.64834154</v>
      </c>
      <c r="L38" s="16" t="n">
        <f aca="false">MAXA(0,+E38-$C$7)</f>
        <v>39791462.7586268</v>
      </c>
      <c r="M38" s="14" t="n">
        <f aca="false">1/(1+$C$10)*M39</f>
        <v>0.250249029116091</v>
      </c>
      <c r="N38" s="14" t="n">
        <f aca="false">1/$C$10*(1-M38)</f>
        <v>9.37188713604886</v>
      </c>
      <c r="O38" s="16" t="n">
        <f aca="false">O37-P38</f>
        <v>0</v>
      </c>
      <c r="P38" s="16" t="n">
        <f aca="false">MAXA(0,MINA(G38+H38+AH38,O37))</f>
        <v>0</v>
      </c>
      <c r="Q38" s="16" t="n">
        <f aca="false">O37*$C$10</f>
        <v>0</v>
      </c>
      <c r="R38" s="16" t="n">
        <f aca="false">P38+Q38</f>
        <v>0</v>
      </c>
      <c r="S38" s="14" t="n">
        <f aca="false">1/(1+$C$13)*S39</f>
        <v>0.240047788646552</v>
      </c>
      <c r="T38" s="14" t="n">
        <f aca="false">1/$C$13*(1-S38)</f>
        <v>9.21154195579937</v>
      </c>
      <c r="U38" s="16" t="n">
        <f aca="false">U37-V38</f>
        <v>0</v>
      </c>
      <c r="V38" s="16" t="n">
        <f aca="false">MAXA(0,MINA(G38+H38+AH38-P38,U37))</f>
        <v>0</v>
      </c>
      <c r="W38" s="16" t="n">
        <f aca="false">U37*$C$13</f>
        <v>0</v>
      </c>
      <c r="X38" s="16" t="n">
        <f aca="false">V38+W38</f>
        <v>0</v>
      </c>
      <c r="Y38" s="14" t="n">
        <f aca="false">1/(1+$C$16)*Y39</f>
        <v>0.23028450278046</v>
      </c>
      <c r="Z38" s="14" t="n">
        <f aca="false">1/$C$16*(1-Y38)</f>
        <v>9.05547643787694</v>
      </c>
      <c r="AA38" s="16" t="n">
        <f aca="false">AA37-AB38</f>
        <v>0</v>
      </c>
      <c r="AB38" s="16" t="n">
        <f aca="false">MAXA(0,MINA(+G38+H38+AH38-P38-V38,AA37))</f>
        <v>5052600.21875089</v>
      </c>
      <c r="AC38" s="16" t="n">
        <f aca="false">AA37*$C$16</f>
        <v>429471.018593825</v>
      </c>
      <c r="AD38" s="16" t="n">
        <f aca="false">AB38+AC38</f>
        <v>5482071.23734471</v>
      </c>
      <c r="AE38" s="14" t="n">
        <f aca="false">1/(1+$C$19)*AE39</f>
        <v>0.211993740150311</v>
      </c>
      <c r="AF38" s="14" t="n">
        <f aca="false">1/$C$19*(1-AE38)</f>
        <v>8.75562510944098</v>
      </c>
      <c r="AG38" s="16" t="n">
        <f aca="false">AG37+AI38</f>
        <v>39791462.7586268</v>
      </c>
      <c r="AH38" s="16" t="n">
        <f aca="false">AG37*$C$19</f>
        <v>3483575.6471623</v>
      </c>
      <c r="AI38" s="16" t="n">
        <f aca="false">AG37*$C$19-AL38-AK38+AN38-AN38</f>
        <v>1085066.67904567</v>
      </c>
      <c r="AJ38" s="16" t="n">
        <f aca="false">AI38+AJ37</f>
        <v>24791462.7586268</v>
      </c>
      <c r="AK38" s="16" t="n">
        <f aca="false">IF(AA38&gt;0,0,MINA(G38+H38-AB38,AG37))</f>
        <v>-1085066.67904567</v>
      </c>
      <c r="AL38" s="16" t="n">
        <f aca="false">IF(AA38&gt;0,0,+AG37*$C$19)</f>
        <v>3483575.6471623</v>
      </c>
      <c r="AM38" s="16" t="n">
        <f aca="false">AK38+AL38</f>
        <v>2398508.96811663</v>
      </c>
      <c r="AN38" s="16"/>
      <c r="AO38" s="16" t="n">
        <f aca="false">G38+H38+K38-R38-X38-AD38-AM38</f>
        <v>624057.982585413</v>
      </c>
    </row>
    <row r="39" customFormat="false" ht="12.75" hidden="false" customHeight="false" outlineLevel="0" collapsed="false">
      <c r="A39" s="13" t="n">
        <f aca="false">A38+1</f>
        <v>13</v>
      </c>
      <c r="B39" s="14" t="n">
        <f aca="false">1/(1+$C$3)*B40</f>
        <v>0.197844668900135</v>
      </c>
      <c r="C39" s="14" t="n">
        <f aca="false">1/$C$3*(1-B39)</f>
        <v>8.02155331099865</v>
      </c>
      <c r="D39" s="15" t="n">
        <f aca="false">D38</f>
        <v>0.06</v>
      </c>
      <c r="E39" s="16" t="n">
        <f aca="false">E38-H39-G39</f>
        <v>40055419.9989933</v>
      </c>
      <c r="F39" s="16" t="n">
        <f aca="false">E38/C38</f>
        <v>5339502.78559704</v>
      </c>
      <c r="G39" s="16" t="n">
        <f aca="false">(E38-H39)*D39</f>
        <v>2556728.93610596</v>
      </c>
      <c r="H39" s="16" t="n">
        <f aca="false">F39-K39</f>
        <v>1179313.82352749</v>
      </c>
      <c r="I39" s="16" t="n">
        <f aca="false">E38*$C$5</f>
        <v>218957.313793134</v>
      </c>
      <c r="J39" s="16" t="n">
        <f aca="false">E38*C$3</f>
        <v>4379146.27586268</v>
      </c>
      <c r="K39" s="16" t="n">
        <f aca="false">J39-I39</f>
        <v>4160188.96206954</v>
      </c>
      <c r="L39" s="16" t="n">
        <f aca="false">MAXA(0,+E39-$C$7)</f>
        <v>36055419.9989933</v>
      </c>
      <c r="M39" s="14" t="n">
        <f aca="false">1/(1+$C$10)*M40</f>
        <v>0.270268951445379</v>
      </c>
      <c r="N39" s="14" t="n">
        <f aca="false">1/$C$10*(1-M39)</f>
        <v>9.12163810693277</v>
      </c>
      <c r="O39" s="16" t="n">
        <f aca="false">O38-P39</f>
        <v>0</v>
      </c>
      <c r="P39" s="16" t="n">
        <f aca="false">MAXA(0,MINA(G39+H39+AH39,O38))</f>
        <v>0</v>
      </c>
      <c r="Q39" s="16" t="n">
        <f aca="false">O38*$C$10</f>
        <v>0</v>
      </c>
      <c r="R39" s="16" t="n">
        <f aca="false">P39+Q39</f>
        <v>0</v>
      </c>
      <c r="S39" s="14" t="n">
        <f aca="false">1/(1+$C$13)*S40</f>
        <v>0.259851731209892</v>
      </c>
      <c r="T39" s="14" t="n">
        <f aca="false">1/$C$13*(1-S39)</f>
        <v>8.97149416715282</v>
      </c>
      <c r="U39" s="16" t="n">
        <f aca="false">U38-V39</f>
        <v>0</v>
      </c>
      <c r="V39" s="16" t="n">
        <f aca="false">MAXA(0,MINA(G39+H39+AH39-P39,U38))</f>
        <v>0</v>
      </c>
      <c r="W39" s="16" t="n">
        <f aca="false">U38*$C$13</f>
        <v>0</v>
      </c>
      <c r="X39" s="16" t="n">
        <f aca="false">V39+W39</f>
        <v>0</v>
      </c>
      <c r="Y39" s="14" t="n">
        <f aca="false">1/(1+$C$16)*Y40</f>
        <v>0.249858685516799</v>
      </c>
      <c r="Z39" s="14" t="n">
        <f aca="false">1/$C$16*(1-Y39)</f>
        <v>8.82519193509648</v>
      </c>
      <c r="AA39" s="16" t="n">
        <f aca="false">AA38-AB39</f>
        <v>0</v>
      </c>
      <c r="AB39" s="16" t="n">
        <f aca="false">MAXA(0,MINA(+G39+H39+AH39-P39-V39,AA38))</f>
        <v>0</v>
      </c>
      <c r="AC39" s="16" t="n">
        <f aca="false">AA38*$C$16</f>
        <v>0</v>
      </c>
      <c r="AD39" s="16" t="n">
        <f aca="false">AB39+AC39</f>
        <v>0</v>
      </c>
      <c r="AE39" s="14" t="n">
        <f aca="false">1/(1+$C$19)*AE40</f>
        <v>0.23107317676384</v>
      </c>
      <c r="AF39" s="14" t="n">
        <f aca="false">1/$C$19*(1-AE39)</f>
        <v>8.54363136929067</v>
      </c>
      <c r="AG39" s="16" t="n">
        <f aca="false">AG38+AI39</f>
        <v>36055419.9989933</v>
      </c>
      <c r="AH39" s="16" t="n">
        <f aca="false">AG38*$C$19</f>
        <v>3581231.64827641</v>
      </c>
      <c r="AI39" s="16" t="n">
        <f aca="false">AG38*$C$19-AL39-AK39+AN39-AN39</f>
        <v>-3736042.75963345</v>
      </c>
      <c r="AJ39" s="16" t="n">
        <f aca="false">AI39+AJ38</f>
        <v>21055419.9989933</v>
      </c>
      <c r="AK39" s="16" t="n">
        <f aca="false">IF(AA39&gt;0,0,MINA(G39+H39-AB39,AG38))</f>
        <v>3736042.75963345</v>
      </c>
      <c r="AL39" s="16" t="n">
        <f aca="false">IF(AA39&gt;0,0,+AG38*$C$19)</f>
        <v>3581231.64827641</v>
      </c>
      <c r="AM39" s="16" t="n">
        <f aca="false">AK39+AL39</f>
        <v>7317274.40790986</v>
      </c>
      <c r="AN39" s="16"/>
      <c r="AO39" s="16" t="n">
        <f aca="false">G39+H39+K39-R39-X39-AD39-AM39</f>
        <v>578957.313793132</v>
      </c>
    </row>
    <row r="40" customFormat="false" ht="12.75" hidden="false" customHeight="false" outlineLevel="0" collapsed="false">
      <c r="A40" s="13" t="n">
        <f aca="false">A39+1</f>
        <v>14</v>
      </c>
      <c r="B40" s="14" t="n">
        <f aca="false">1/(1+$C$3)*B41</f>
        <v>0.217629135790149</v>
      </c>
      <c r="C40" s="14" t="n">
        <f aca="false">1/$C$3*(1-B40)</f>
        <v>7.82370864209851</v>
      </c>
      <c r="D40" s="15" t="n">
        <f aca="false">D39</f>
        <v>0.06</v>
      </c>
      <c r="E40" s="16" t="n">
        <f aca="false">E39-H40-G40</f>
        <v>36535177.9987704</v>
      </c>
      <c r="F40" s="16" t="n">
        <f aca="false">E39/C39</f>
        <v>4993474.26190783</v>
      </c>
      <c r="G40" s="16" t="n">
        <f aca="false">(E39-H40)*D40</f>
        <v>2332032.63821939</v>
      </c>
      <c r="H40" s="16" t="n">
        <f aca="false">F40-K40</f>
        <v>1188209.36200347</v>
      </c>
      <c r="I40" s="16" t="n">
        <f aca="false">E39*$C$5</f>
        <v>200277.099994967</v>
      </c>
      <c r="J40" s="16" t="n">
        <f aca="false">E39*C$3</f>
        <v>4005541.99989933</v>
      </c>
      <c r="K40" s="16" t="n">
        <f aca="false">J40-I40</f>
        <v>3805264.89990436</v>
      </c>
      <c r="L40" s="16" t="n">
        <f aca="false">MAXA(0,+E40-$C$7)</f>
        <v>32535177.9987704</v>
      </c>
      <c r="M40" s="14" t="n">
        <f aca="false">1/(1+$C$10)*M41</f>
        <v>0.291890467561009</v>
      </c>
      <c r="N40" s="14" t="n">
        <f aca="false">1/$C$10*(1-M40)</f>
        <v>8.85136915548739</v>
      </c>
      <c r="O40" s="16" t="n">
        <f aca="false">O39-P40</f>
        <v>0</v>
      </c>
      <c r="P40" s="16" t="n">
        <f aca="false">MAXA(0,MINA(G40+H40+AH40,O39))</f>
        <v>0</v>
      </c>
      <c r="Q40" s="16" t="n">
        <f aca="false">O39*$C$10</f>
        <v>0</v>
      </c>
      <c r="R40" s="16" t="n">
        <f aca="false">P40+Q40</f>
        <v>0</v>
      </c>
      <c r="S40" s="14" t="n">
        <f aca="false">1/(1+$C$13)*S41</f>
        <v>0.281289499034708</v>
      </c>
      <c r="T40" s="14" t="n">
        <f aca="false">1/$C$13*(1-S40)</f>
        <v>8.71164243594293</v>
      </c>
      <c r="U40" s="16" t="n">
        <f aca="false">U39-V40</f>
        <v>0</v>
      </c>
      <c r="V40" s="16" t="n">
        <f aca="false">MAXA(0,MINA(G40+H40+AH40-P40,U39))</f>
        <v>0</v>
      </c>
      <c r="W40" s="16" t="n">
        <f aca="false">U39*$C$13</f>
        <v>0</v>
      </c>
      <c r="X40" s="16" t="n">
        <f aca="false">V40+W40</f>
        <v>0</v>
      </c>
      <c r="Y40" s="14" t="n">
        <f aca="false">1/(1+$C$16)*Y41</f>
        <v>0.271096673785727</v>
      </c>
      <c r="Z40" s="14" t="n">
        <f aca="false">1/$C$16*(1-Y40)</f>
        <v>8.57533324957968</v>
      </c>
      <c r="AA40" s="16" t="n">
        <f aca="false">AA39-AB40</f>
        <v>0</v>
      </c>
      <c r="AB40" s="16" t="n">
        <f aca="false">MAXA(0,MINA(+G40+H40+AH40-P40-V40,AA39))</f>
        <v>0</v>
      </c>
      <c r="AC40" s="16" t="n">
        <f aca="false">AA39*$C$16</f>
        <v>0</v>
      </c>
      <c r="AD40" s="16" t="n">
        <f aca="false">AB40+AC40</f>
        <v>0</v>
      </c>
      <c r="AE40" s="14" t="n">
        <f aca="false">1/(1+$C$19)*AE41</f>
        <v>0.251869762672585</v>
      </c>
      <c r="AF40" s="14" t="n">
        <f aca="false">1/$C$19*(1-AE40)</f>
        <v>8.31255819252683</v>
      </c>
      <c r="AG40" s="16" t="n">
        <f aca="false">AG39+AI40</f>
        <v>32535177.9987705</v>
      </c>
      <c r="AH40" s="16" t="n">
        <f aca="false">AG39*$C$19</f>
        <v>3244987.7999094</v>
      </c>
      <c r="AI40" s="16" t="n">
        <f aca="false">AG39*$C$19-AL40-AK40+AN40-AN40</f>
        <v>-3520242.00022286</v>
      </c>
      <c r="AJ40" s="16" t="n">
        <f aca="false">AI40+AJ39</f>
        <v>17535177.9987705</v>
      </c>
      <c r="AK40" s="16" t="n">
        <f aca="false">IF(AA40&gt;0,0,MINA(G40+H40-AB40,AG39))</f>
        <v>3520242.00022286</v>
      </c>
      <c r="AL40" s="16" t="n">
        <f aca="false">IF(AA40&gt;0,0,+AG39*$C$19)</f>
        <v>3244987.7999094</v>
      </c>
      <c r="AM40" s="16" t="n">
        <f aca="false">AK40+AL40</f>
        <v>6765229.80013226</v>
      </c>
      <c r="AN40" s="16"/>
      <c r="AO40" s="16" t="n">
        <f aca="false">G40+H40+K40-R40-X40-AD40-AM40</f>
        <v>560277.099994966</v>
      </c>
    </row>
    <row r="41" customFormat="false" ht="12.75" hidden="false" customHeight="false" outlineLevel="0" collapsed="false">
      <c r="A41" s="13" t="n">
        <f aca="false">A40+1</f>
        <v>15</v>
      </c>
      <c r="B41" s="14" t="n">
        <f aca="false">1/(1+$C$3)*B42</f>
        <v>0.239392049369163</v>
      </c>
      <c r="C41" s="14" t="n">
        <f aca="false">1/$C$3*(1-B41)</f>
        <v>7.60607950630837</v>
      </c>
      <c r="D41" s="15" t="n">
        <f aca="false">D40</f>
        <v>0.06</v>
      </c>
      <c r="E41" s="16" t="n">
        <f aca="false">E40-H41-G41</f>
        <v>33216043.9048548</v>
      </c>
      <c r="F41" s="16" t="n">
        <f aca="false">E40/C40</f>
        <v>4669802.98859529</v>
      </c>
      <c r="G41" s="16" t="n">
        <f aca="false">(E40-H41)*D41</f>
        <v>2120173.0152035</v>
      </c>
      <c r="H41" s="16" t="n">
        <f aca="false">F41-K41</f>
        <v>1198961.0787121</v>
      </c>
      <c r="I41" s="16" t="n">
        <f aca="false">E40*$C$5</f>
        <v>182675.889993852</v>
      </c>
      <c r="J41" s="16" t="n">
        <f aca="false">E40*C$3</f>
        <v>3653517.79987704</v>
      </c>
      <c r="K41" s="16" t="n">
        <f aca="false">J41-I41</f>
        <v>3470841.90988319</v>
      </c>
      <c r="L41" s="16" t="n">
        <f aca="false">MAXA(0,+E41-$C$7)</f>
        <v>29216043.9048548</v>
      </c>
      <c r="M41" s="14" t="n">
        <f aca="false">1/(1+$C$10)*M42</f>
        <v>0.31524170496589</v>
      </c>
      <c r="N41" s="14" t="n">
        <f aca="false">1/$C$10*(1-M41)</f>
        <v>8.55947868792638</v>
      </c>
      <c r="O41" s="16" t="n">
        <f aca="false">O40-P41</f>
        <v>0</v>
      </c>
      <c r="P41" s="16" t="n">
        <f aca="false">MAXA(0,MINA(G41+H41+AH41,O40))</f>
        <v>0</v>
      </c>
      <c r="Q41" s="16" t="n">
        <f aca="false">O40*$C$10</f>
        <v>0</v>
      </c>
      <c r="R41" s="16" t="n">
        <f aca="false">P41+Q41</f>
        <v>0</v>
      </c>
      <c r="S41" s="14" t="n">
        <f aca="false">1/(1+$C$13)*S42</f>
        <v>0.304495882705072</v>
      </c>
      <c r="T41" s="14" t="n">
        <f aca="false">1/$C$13*(1-S41)</f>
        <v>8.43035293690822</v>
      </c>
      <c r="U41" s="16" t="n">
        <f aca="false">U40-V41</f>
        <v>0</v>
      </c>
      <c r="V41" s="16" t="n">
        <f aca="false">MAXA(0,MINA(G41+H41+AH41-P41,U40))</f>
        <v>0</v>
      </c>
      <c r="W41" s="16" t="n">
        <f aca="false">U40*$C$13</f>
        <v>0</v>
      </c>
      <c r="X41" s="16" t="n">
        <f aca="false">V41+W41</f>
        <v>0</v>
      </c>
      <c r="Y41" s="14" t="n">
        <f aca="false">1/(1+$C$16)*Y42</f>
        <v>0.294139891057514</v>
      </c>
      <c r="Z41" s="14" t="n">
        <f aca="false">1/$C$16*(1-Y41)</f>
        <v>8.30423657579396</v>
      </c>
      <c r="AA41" s="16" t="n">
        <f aca="false">AA40-AB41</f>
        <v>0</v>
      </c>
      <c r="AB41" s="16" t="n">
        <f aca="false">MAXA(0,MINA(+G41+H41+AH41-P41-V41,AA40))</f>
        <v>0</v>
      </c>
      <c r="AC41" s="16" t="n">
        <f aca="false">AA40*$C$16</f>
        <v>0</v>
      </c>
      <c r="AD41" s="16" t="n">
        <f aca="false">AB41+AC41</f>
        <v>0</v>
      </c>
      <c r="AE41" s="14" t="n">
        <f aca="false">1/(1+$C$19)*AE42</f>
        <v>0.274538041313118</v>
      </c>
      <c r="AF41" s="14" t="n">
        <f aca="false">1/$C$19*(1-AE41)</f>
        <v>8.06068842985425</v>
      </c>
      <c r="AG41" s="16" t="n">
        <f aca="false">AG40+AI41</f>
        <v>29216043.9048549</v>
      </c>
      <c r="AH41" s="16" t="n">
        <f aca="false">AG40*$C$19</f>
        <v>2928166.01988934</v>
      </c>
      <c r="AI41" s="16" t="n">
        <f aca="false">AG40*$C$19-AL41-AK41+AN41-AN41</f>
        <v>-3319134.0939156</v>
      </c>
      <c r="AJ41" s="16" t="n">
        <f aca="false">AI41+AJ40</f>
        <v>14216043.9048549</v>
      </c>
      <c r="AK41" s="16" t="n">
        <f aca="false">IF(AA41&gt;0,0,MINA(G41+H41-AB41,AG40))</f>
        <v>3319134.0939156</v>
      </c>
      <c r="AL41" s="16" t="n">
        <f aca="false">IF(AA41&gt;0,0,+AG40*$C$19)</f>
        <v>2928166.01988934</v>
      </c>
      <c r="AM41" s="16" t="n">
        <f aca="false">AK41+AL41</f>
        <v>6247300.11380494</v>
      </c>
      <c r="AN41" s="16"/>
      <c r="AO41" s="16" t="n">
        <f aca="false">G41+H41+K41-R41-X41-AD41-AM41</f>
        <v>542675.889993851</v>
      </c>
    </row>
    <row r="42" customFormat="false" ht="12.75" hidden="false" customHeight="false" outlineLevel="0" collapsed="false">
      <c r="A42" s="13" t="n">
        <f aca="false">A41+1</f>
        <v>16</v>
      </c>
      <c r="B42" s="14" t="n">
        <f aca="false">1/(1+$C$3)*B43</f>
        <v>0.26333125430608</v>
      </c>
      <c r="C42" s="14" t="n">
        <f aca="false">1/$C$3*(1-B42)</f>
        <v>7.3666874569392</v>
      </c>
      <c r="D42" s="15" t="n">
        <f aca="false">D41</f>
        <v>0.06</v>
      </c>
      <c r="E42" s="16" t="n">
        <f aca="false">E41-H42-G42</f>
        <v>30084257.5705647</v>
      </c>
      <c r="F42" s="16" t="n">
        <f aca="false">E41/C41</f>
        <v>4367038.74542804</v>
      </c>
      <c r="G42" s="16" t="n">
        <f aca="false">(E41-H42)*D42</f>
        <v>1920271.75982328</v>
      </c>
      <c r="H42" s="16" t="n">
        <f aca="false">F42-K42</f>
        <v>1211514.57446683</v>
      </c>
      <c r="I42" s="16" t="n">
        <f aca="false">E41*$C$5</f>
        <v>166080.219524274</v>
      </c>
      <c r="J42" s="16" t="n">
        <f aca="false">E41*C$3</f>
        <v>3321604.39048548</v>
      </c>
      <c r="K42" s="16" t="n">
        <f aca="false">J42-I42</f>
        <v>3155524.17096121</v>
      </c>
      <c r="L42" s="16" t="n">
        <f aca="false">MAXA(0,+E42-$C$7)</f>
        <v>26084257.5705647</v>
      </c>
      <c r="M42" s="14" t="n">
        <f aca="false">1/(1+$C$10)*M43</f>
        <v>0.340461041363161</v>
      </c>
      <c r="N42" s="14" t="n">
        <f aca="false">1/$C$10*(1-M42)</f>
        <v>8.24423698296049</v>
      </c>
      <c r="O42" s="16" t="n">
        <f aca="false">O41-P42</f>
        <v>0</v>
      </c>
      <c r="P42" s="16" t="n">
        <f aca="false">MAXA(0,MINA(G42+H42+AH42,O41))</f>
        <v>0</v>
      </c>
      <c r="Q42" s="16" t="n">
        <f aca="false">O41*$C$10</f>
        <v>0</v>
      </c>
      <c r="R42" s="16" t="n">
        <f aca="false">P42+Q42</f>
        <v>0</v>
      </c>
      <c r="S42" s="14" t="n">
        <f aca="false">1/(1+$C$13)*S43</f>
        <v>0.32961679302824</v>
      </c>
      <c r="T42" s="14" t="n">
        <f aca="false">1/$C$13*(1-S42)</f>
        <v>8.12585705420315</v>
      </c>
      <c r="U42" s="16" t="n">
        <f aca="false">U41-V42</f>
        <v>0</v>
      </c>
      <c r="V42" s="16" t="n">
        <f aca="false">MAXA(0,MINA(G42+H42+AH42-P42,U41))</f>
        <v>0</v>
      </c>
      <c r="W42" s="16" t="n">
        <f aca="false">U41*$C$13</f>
        <v>0</v>
      </c>
      <c r="X42" s="16" t="n">
        <f aca="false">V42+W42</f>
        <v>0</v>
      </c>
      <c r="Y42" s="14" t="n">
        <f aca="false">1/(1+$C$16)*Y43</f>
        <v>0.319141781797402</v>
      </c>
      <c r="Z42" s="14" t="n">
        <f aca="false">1/$C$16*(1-Y42)</f>
        <v>8.01009668473644</v>
      </c>
      <c r="AA42" s="16" t="n">
        <f aca="false">AA41-AB42</f>
        <v>0</v>
      </c>
      <c r="AB42" s="16" t="n">
        <f aca="false">MAXA(0,MINA(+G42+H42+AH42-P42-V42,AA41))</f>
        <v>0</v>
      </c>
      <c r="AC42" s="16" t="n">
        <f aca="false">AA41*$C$16</f>
        <v>0</v>
      </c>
      <c r="AD42" s="16" t="n">
        <f aca="false">AB42+AC42</f>
        <v>0</v>
      </c>
      <c r="AE42" s="14" t="n">
        <f aca="false">1/(1+$C$19)*AE43</f>
        <v>0.299246465031298</v>
      </c>
      <c r="AF42" s="14" t="n">
        <f aca="false">1/$C$19*(1-AE42)</f>
        <v>7.78615038854113</v>
      </c>
      <c r="AG42" s="16" t="n">
        <f aca="false">AG41+AI42</f>
        <v>26084257.5705648</v>
      </c>
      <c r="AH42" s="16" t="n">
        <f aca="false">AG41*$C$19</f>
        <v>2629443.95143694</v>
      </c>
      <c r="AI42" s="16" t="n">
        <f aca="false">AG41*$C$19-AL42-AK42+AN42-AN42</f>
        <v>-3131786.33429011</v>
      </c>
      <c r="AJ42" s="16" t="n">
        <f aca="false">AI42+AJ41</f>
        <v>11084257.5705648</v>
      </c>
      <c r="AK42" s="16" t="n">
        <f aca="false">IF(AA42&gt;0,0,MINA(G42+H42-AB42,AG41))</f>
        <v>3131786.33429011</v>
      </c>
      <c r="AL42" s="16" t="n">
        <f aca="false">IF(AA42&gt;0,0,+AG41*$C$19)</f>
        <v>2629443.95143694</v>
      </c>
      <c r="AM42" s="16" t="n">
        <f aca="false">AK42+AL42</f>
        <v>5761230.28572705</v>
      </c>
      <c r="AN42" s="16"/>
      <c r="AO42" s="16" t="n">
        <f aca="false">G42+H42+K42-R42-X42-AD42-AM42</f>
        <v>526080.219524273</v>
      </c>
    </row>
    <row r="43" customFormat="false" ht="12.75" hidden="false" customHeight="false" outlineLevel="0" collapsed="false">
      <c r="A43" s="13" t="n">
        <f aca="false">A42+1</f>
        <v>17</v>
      </c>
      <c r="B43" s="14" t="n">
        <f aca="false">1/(1+$C$3)*B44</f>
        <v>0.289664379736688</v>
      </c>
      <c r="C43" s="14" t="n">
        <f aca="false">1/$C$3*(1-B43)</f>
        <v>7.10335620263312</v>
      </c>
      <c r="D43" s="15" t="n">
        <f aca="false">D42</f>
        <v>0.06</v>
      </c>
      <c r="E43" s="16" t="n">
        <f aca="false">E42-H43-G43</f>
        <v>27126931.4341145</v>
      </c>
      <c r="F43" s="16" t="n">
        <f aca="false">E42/C42</f>
        <v>4083824.34390185</v>
      </c>
      <c r="G43" s="16" t="n">
        <f aca="false">(E42-H43)*D43</f>
        <v>1731506.26175199</v>
      </c>
      <c r="H43" s="16" t="n">
        <f aca="false">F43-K43</f>
        <v>1225819.8746982</v>
      </c>
      <c r="I43" s="16" t="n">
        <f aca="false">E42*$C$5</f>
        <v>150421.287852824</v>
      </c>
      <c r="J43" s="16" t="n">
        <f aca="false">E42*C$3</f>
        <v>3008425.75705647</v>
      </c>
      <c r="K43" s="16" t="n">
        <f aca="false">J43-I43</f>
        <v>2858004.46920365</v>
      </c>
      <c r="L43" s="16" t="n">
        <f aca="false">MAXA(0,+E43-$C$7)</f>
        <v>23126931.4341145</v>
      </c>
      <c r="M43" s="14" t="n">
        <f aca="false">1/(1+$C$10)*M44</f>
        <v>0.367697924672214</v>
      </c>
      <c r="N43" s="14" t="n">
        <f aca="false">1/$C$10*(1-M43)</f>
        <v>7.90377594159733</v>
      </c>
      <c r="O43" s="16" t="n">
        <f aca="false">O42-P43</f>
        <v>0</v>
      </c>
      <c r="P43" s="16" t="n">
        <f aca="false">MAXA(0,MINA(G43+H43+AH43,O42))</f>
        <v>0</v>
      </c>
      <c r="Q43" s="16" t="n">
        <f aca="false">O42*$C$10</f>
        <v>0</v>
      </c>
      <c r="R43" s="16" t="n">
        <f aca="false">P43+Q43</f>
        <v>0</v>
      </c>
      <c r="S43" s="14" t="n">
        <f aca="false">1/(1+$C$13)*S44</f>
        <v>0.35681017845307</v>
      </c>
      <c r="T43" s="14" t="n">
        <f aca="false">1/$C$13*(1-S43)</f>
        <v>7.79624026117491</v>
      </c>
      <c r="U43" s="16" t="n">
        <f aca="false">U42-V43</f>
        <v>0</v>
      </c>
      <c r="V43" s="16" t="n">
        <f aca="false">MAXA(0,MINA(G43+H43+AH43-P43,U42))</f>
        <v>0</v>
      </c>
      <c r="W43" s="16" t="n">
        <f aca="false">U42*$C$13</f>
        <v>0</v>
      </c>
      <c r="X43" s="16" t="n">
        <f aca="false">V43+W43</f>
        <v>0</v>
      </c>
      <c r="Y43" s="14" t="n">
        <f aca="false">1/(1+$C$16)*Y44</f>
        <v>0.346268833250182</v>
      </c>
      <c r="Z43" s="14" t="n">
        <f aca="false">1/$C$16*(1-Y43)</f>
        <v>7.69095490293904</v>
      </c>
      <c r="AA43" s="16" t="n">
        <f aca="false">AA42-AB43</f>
        <v>0</v>
      </c>
      <c r="AB43" s="16" t="n">
        <f aca="false">MAXA(0,MINA(+G43+H43+AH43-P43-V43,AA42))</f>
        <v>0</v>
      </c>
      <c r="AC43" s="16" t="n">
        <f aca="false">AA42*$C$16</f>
        <v>0</v>
      </c>
      <c r="AD43" s="16" t="n">
        <f aca="false">AB43+AC43</f>
        <v>0</v>
      </c>
      <c r="AE43" s="14" t="n">
        <f aca="false">1/(1+$C$19)*AE44</f>
        <v>0.326178646884115</v>
      </c>
      <c r="AF43" s="14" t="n">
        <f aca="false">1/$C$19*(1-AE43)</f>
        <v>7.48690392350983</v>
      </c>
      <c r="AG43" s="16" t="n">
        <f aca="false">AG42+AI43</f>
        <v>23126931.4341146</v>
      </c>
      <c r="AH43" s="16" t="n">
        <f aca="false">AG42*$C$19</f>
        <v>2347583.18135083</v>
      </c>
      <c r="AI43" s="16" t="n">
        <f aca="false">AG42*$C$19-AL43-AK43+AN43-AN43</f>
        <v>-2957326.13645019</v>
      </c>
      <c r="AJ43" s="16" t="n">
        <f aca="false">AI43+AJ42</f>
        <v>8126931.43411457</v>
      </c>
      <c r="AK43" s="16" t="n">
        <f aca="false">IF(AA43&gt;0,0,MINA(G43+H43-AB43,AG42))</f>
        <v>2957326.13645019</v>
      </c>
      <c r="AL43" s="16" t="n">
        <f aca="false">IF(AA43&gt;0,0,+AG42*$C$19)</f>
        <v>2347583.18135083</v>
      </c>
      <c r="AM43" s="16" t="n">
        <f aca="false">AK43+AL43</f>
        <v>5304909.31780102</v>
      </c>
      <c r="AN43" s="16"/>
      <c r="AO43" s="16" t="n">
        <f aca="false">G43+H43+K43-R43-X43-AD43-AM43</f>
        <v>510421.287852821</v>
      </c>
    </row>
    <row r="44" customFormat="false" ht="12.75" hidden="false" customHeight="false" outlineLevel="0" collapsed="false">
      <c r="A44" s="13" t="n">
        <f aca="false">A43+1</f>
        <v>18</v>
      </c>
      <c r="B44" s="14" t="n">
        <f aca="false">1/(1+$C$3)*B45</f>
        <v>0.318630817710357</v>
      </c>
      <c r="C44" s="14" t="n">
        <f aca="false">1/$C$3*(1-B44)</f>
        <v>6.81369182289643</v>
      </c>
      <c r="D44" s="15" t="n">
        <f aca="false">D43</f>
        <v>0.06</v>
      </c>
      <c r="E44" s="16" t="n">
        <f aca="false">E43-H44-G44</f>
        <v>24331994.5252005</v>
      </c>
      <c r="F44" s="16" t="n">
        <f aca="false">E43/C43</f>
        <v>3818889.36163147</v>
      </c>
      <c r="G44" s="16" t="n">
        <f aca="false">(E43-H44)*D44</f>
        <v>1553106.03352344</v>
      </c>
      <c r="H44" s="16" t="n">
        <f aca="false">F44-K44</f>
        <v>1241830.87539059</v>
      </c>
      <c r="I44" s="16" t="n">
        <f aca="false">E43*$C$5</f>
        <v>135634.657170573</v>
      </c>
      <c r="J44" s="16" t="n">
        <f aca="false">E43*C$3</f>
        <v>2712693.14341145</v>
      </c>
      <c r="K44" s="16" t="n">
        <f aca="false">J44-I44</f>
        <v>2577058.48624088</v>
      </c>
      <c r="L44" s="16" t="n">
        <f aca="false">MAXA(0,+E44-$C$7)</f>
        <v>20331994.5252005</v>
      </c>
      <c r="M44" s="14" t="n">
        <f aca="false">1/(1+$C$10)*M45</f>
        <v>0.397113758645991</v>
      </c>
      <c r="N44" s="14" t="n">
        <f aca="false">1/$C$10*(1-M44)</f>
        <v>7.53607801692511</v>
      </c>
      <c r="O44" s="16" t="n">
        <f aca="false">O43-P44</f>
        <v>0</v>
      </c>
      <c r="P44" s="16" t="n">
        <f aca="false">MAXA(0,MINA(G44+H44+AH44,O43))</f>
        <v>0</v>
      </c>
      <c r="Q44" s="16" t="n">
        <f aca="false">O43*$C$10</f>
        <v>0</v>
      </c>
      <c r="R44" s="16" t="n">
        <f aca="false">P44+Q44</f>
        <v>0</v>
      </c>
      <c r="S44" s="14" t="n">
        <f aca="false">1/(1+$C$13)*S45</f>
        <v>0.386247018175448</v>
      </c>
      <c r="T44" s="14" t="n">
        <f aca="false">1/$C$13*(1-S44)</f>
        <v>7.43943008272184</v>
      </c>
      <c r="U44" s="16" t="n">
        <f aca="false">U43-V44</f>
        <v>0</v>
      </c>
      <c r="V44" s="16" t="n">
        <f aca="false">MAXA(0,MINA(G44+H44+AH44-P44,U43))</f>
        <v>0</v>
      </c>
      <c r="W44" s="16" t="n">
        <f aca="false">U43*$C$13</f>
        <v>0</v>
      </c>
      <c r="X44" s="16" t="n">
        <f aca="false">V44+W44</f>
        <v>0</v>
      </c>
      <c r="Y44" s="14" t="n">
        <f aca="false">1/(1+$C$16)*Y45</f>
        <v>0.375701684076447</v>
      </c>
      <c r="Z44" s="14" t="n">
        <f aca="false">1/$C$16*(1-Y44)</f>
        <v>7.34468606968886</v>
      </c>
      <c r="AA44" s="16" t="n">
        <f aca="false">AA43-AB44</f>
        <v>0</v>
      </c>
      <c r="AB44" s="16" t="n">
        <f aca="false">MAXA(0,MINA(+G44+H44+AH44-P44-V44,AA43))</f>
        <v>0</v>
      </c>
      <c r="AC44" s="16" t="n">
        <f aca="false">AA43*$C$16</f>
        <v>0</v>
      </c>
      <c r="AD44" s="16" t="n">
        <f aca="false">AB44+AC44</f>
        <v>0</v>
      </c>
      <c r="AE44" s="14" t="n">
        <f aca="false">1/(1+$C$19)*AE45</f>
        <v>0.355534725103686</v>
      </c>
      <c r="AF44" s="14" t="n">
        <f aca="false">1/$C$19*(1-AE44)</f>
        <v>7.16072527662572</v>
      </c>
      <c r="AG44" s="16" t="n">
        <f aca="false">AG43+AI44</f>
        <v>20331994.5252005</v>
      </c>
      <c r="AH44" s="16" t="n">
        <f aca="false">AG43*$C$19</f>
        <v>2081423.82907031</v>
      </c>
      <c r="AI44" s="16" t="n">
        <f aca="false">AG43*$C$19-AL44-AK44+AN44-AN44</f>
        <v>-2794936.90891402</v>
      </c>
      <c r="AJ44" s="16" t="n">
        <f aca="false">AI44+AJ43</f>
        <v>5331994.52520055</v>
      </c>
      <c r="AK44" s="16" t="n">
        <f aca="false">IF(AA44&gt;0,0,MINA(G44+H44-AB44,AG43))</f>
        <v>2794936.90891402</v>
      </c>
      <c r="AL44" s="16" t="n">
        <f aca="false">IF(AA44&gt;0,0,+AG43*$C$19)</f>
        <v>2081423.82907031</v>
      </c>
      <c r="AM44" s="16" t="n">
        <f aca="false">AK44+AL44</f>
        <v>4876360.73798434</v>
      </c>
      <c r="AN44" s="16"/>
      <c r="AO44" s="16" t="n">
        <f aca="false">G44+H44+K44-R44-X44-AD44-AM44</f>
        <v>495634.65717057</v>
      </c>
    </row>
    <row r="45" customFormat="false" ht="12.75" hidden="false" customHeight="false" outlineLevel="0" collapsed="false">
      <c r="A45" s="13" t="n">
        <f aca="false">A44+1</f>
        <v>19</v>
      </c>
      <c r="B45" s="14" t="n">
        <f aca="false">1/(1+$C$3)*B46</f>
        <v>0.350493899481392</v>
      </c>
      <c r="C45" s="14" t="n">
        <f aca="false">1/$C$3*(1-B45)</f>
        <v>6.49506100518608</v>
      </c>
      <c r="D45" s="15" t="n">
        <f aca="false">D44</f>
        <v>0.06</v>
      </c>
      <c r="E45" s="16" t="n">
        <f aca="false">E44-H45-G45</f>
        <v>21688140.4360397</v>
      </c>
      <c r="F45" s="16" t="n">
        <f aca="false">E44/C44</f>
        <v>3571044.17952047</v>
      </c>
      <c r="G45" s="16" t="n">
        <f aca="false">(E44-H45)*D45</f>
        <v>1384349.38953445</v>
      </c>
      <c r="H45" s="16" t="n">
        <f aca="false">F45-K45</f>
        <v>1259504.69962642</v>
      </c>
      <c r="I45" s="16" t="n">
        <f aca="false">E44*$C$5</f>
        <v>121659.972626003</v>
      </c>
      <c r="J45" s="16" t="n">
        <f aca="false">E44*C$3</f>
        <v>2433199.45252005</v>
      </c>
      <c r="K45" s="16" t="n">
        <f aca="false">J45-I45</f>
        <v>2311539.47989405</v>
      </c>
      <c r="L45" s="16" t="n">
        <f aca="false">MAXA(0,+E45-$C$7)</f>
        <v>17688140.4360397</v>
      </c>
      <c r="M45" s="14" t="n">
        <f aca="false">1/(1+$C$10)*M46</f>
        <v>0.42888285933767</v>
      </c>
      <c r="N45" s="14" t="n">
        <f aca="false">1/$C$10*(1-M45)</f>
        <v>7.13896425827912</v>
      </c>
      <c r="O45" s="16" t="n">
        <f aca="false">O44-P45</f>
        <v>0</v>
      </c>
      <c r="P45" s="16" t="n">
        <f aca="false">MAXA(0,MINA(G45+H45+AH45,O44))</f>
        <v>0</v>
      </c>
      <c r="Q45" s="16" t="n">
        <f aca="false">O44*$C$10</f>
        <v>0</v>
      </c>
      <c r="R45" s="16" t="n">
        <f aca="false">P45+Q45</f>
        <v>0</v>
      </c>
      <c r="S45" s="14" t="n">
        <f aca="false">1/(1+$C$13)*S46</f>
        <v>0.418112397174923</v>
      </c>
      <c r="T45" s="14" t="n">
        <f aca="false">1/$C$13*(1-S45)</f>
        <v>7.05318306454639</v>
      </c>
      <c r="U45" s="16" t="n">
        <f aca="false">U44-V45</f>
        <v>0</v>
      </c>
      <c r="V45" s="16" t="n">
        <f aca="false">MAXA(0,MINA(G45+H45+AH45-P45,U44))</f>
        <v>0</v>
      </c>
      <c r="W45" s="16" t="n">
        <f aca="false">U44*$C$13</f>
        <v>0</v>
      </c>
      <c r="X45" s="16" t="n">
        <f aca="false">V45+W45</f>
        <v>0</v>
      </c>
      <c r="Y45" s="14" t="n">
        <f aca="false">1/(1+$C$16)*Y46</f>
        <v>0.407636327222945</v>
      </c>
      <c r="Z45" s="14" t="n">
        <f aca="false">1/$C$16*(1-Y45)</f>
        <v>6.96898438561241</v>
      </c>
      <c r="AA45" s="16" t="n">
        <f aca="false">AA44-AB45</f>
        <v>0</v>
      </c>
      <c r="AB45" s="16" t="n">
        <f aca="false">MAXA(0,MINA(+G45+H45+AH45-P45-V45,AA44))</f>
        <v>0</v>
      </c>
      <c r="AC45" s="16" t="n">
        <f aca="false">AA44*$C$16</f>
        <v>0</v>
      </c>
      <c r="AD45" s="16" t="n">
        <f aca="false">AB45+AC45</f>
        <v>0</v>
      </c>
      <c r="AE45" s="14" t="n">
        <f aca="false">1/(1+$C$19)*AE46</f>
        <v>0.387532850363017</v>
      </c>
      <c r="AF45" s="14" t="n">
        <f aca="false">1/$C$19*(1-AE45)</f>
        <v>6.80519055152203</v>
      </c>
      <c r="AG45" s="16" t="n">
        <f aca="false">AG44+AI45</f>
        <v>17688140.4360397</v>
      </c>
      <c r="AH45" s="16" t="n">
        <f aca="false">AG44*$C$19</f>
        <v>1829879.50726805</v>
      </c>
      <c r="AI45" s="16" t="n">
        <f aca="false">AG44*$C$19-AL45-AK45+AN45-AN45</f>
        <v>-2643854.08916086</v>
      </c>
      <c r="AJ45" s="16" t="n">
        <f aca="false">AI45+AJ44</f>
        <v>2688140.43603968</v>
      </c>
      <c r="AK45" s="16" t="n">
        <f aca="false">IF(AA45&gt;0,0,MINA(G45+H45-AB45,AG44))</f>
        <v>2643854.08916086</v>
      </c>
      <c r="AL45" s="16" t="n">
        <f aca="false">IF(AA45&gt;0,0,+AG44*$C$19)</f>
        <v>1829879.50726805</v>
      </c>
      <c r="AM45" s="16" t="n">
        <f aca="false">AK45+AL45</f>
        <v>4473733.59642891</v>
      </c>
      <c r="AN45" s="16"/>
      <c r="AO45" s="16" t="n">
        <f aca="false">G45+H45+K45-R45-X45-AD45-AM45</f>
        <v>481659.972626001</v>
      </c>
    </row>
    <row r="46" customFormat="false" ht="12.75" hidden="false" customHeight="false" outlineLevel="0" collapsed="false">
      <c r="A46" s="13" t="n">
        <f aca="false">A45+1</f>
        <v>20</v>
      </c>
      <c r="B46" s="14" t="n">
        <f aca="false">1/(1+$C$3)*B47</f>
        <v>0.385543289429532</v>
      </c>
      <c r="C46" s="14" t="n">
        <f aca="false">1/$C$3*(1-B46)</f>
        <v>6.14456710570468</v>
      </c>
      <c r="D46" s="15" t="n">
        <f aca="false">D45</f>
        <v>0.06</v>
      </c>
      <c r="E46" s="16" t="n">
        <f aca="false">E45-H46-G46</f>
        <v>19184779.1593841</v>
      </c>
      <c r="F46" s="16" t="n">
        <f aca="false">E45/C45</f>
        <v>3339174.24620376</v>
      </c>
      <c r="G46" s="16" t="n">
        <f aca="false">(E45-H46)*D46</f>
        <v>1224560.37187558</v>
      </c>
      <c r="H46" s="16" t="n">
        <f aca="false">F46-K46</f>
        <v>1278800.90477999</v>
      </c>
      <c r="I46" s="16" t="n">
        <f aca="false">E45*$C$5</f>
        <v>108440.702180198</v>
      </c>
      <c r="J46" s="16" t="n">
        <f aca="false">E45*C$3</f>
        <v>2168814.04360397</v>
      </c>
      <c r="K46" s="16" t="n">
        <f aca="false">J46-I46</f>
        <v>2060373.34142377</v>
      </c>
      <c r="L46" s="16" t="n">
        <f aca="false">MAXA(0,+E46-$C$7)</f>
        <v>15184779.1593841</v>
      </c>
      <c r="M46" s="14" t="n">
        <f aca="false">1/(1+$C$10)*M47</f>
        <v>0.463193488084684</v>
      </c>
      <c r="N46" s="14" t="n">
        <f aca="false">1/$C$10*(1-M46)</f>
        <v>6.71008139894145</v>
      </c>
      <c r="O46" s="16" t="n">
        <f aca="false">O45-P46</f>
        <v>0</v>
      </c>
      <c r="P46" s="16" t="n">
        <f aca="false">MAXA(0,MINA(G46+H46+AH46,O45))</f>
        <v>0</v>
      </c>
      <c r="Q46" s="16" t="n">
        <f aca="false">O45*$C$10</f>
        <v>0</v>
      </c>
      <c r="R46" s="16" t="n">
        <f aca="false">P46+Q46</f>
        <v>0</v>
      </c>
      <c r="S46" s="14" t="n">
        <f aca="false">1/(1+$C$13)*S47</f>
        <v>0.452606669941854</v>
      </c>
      <c r="T46" s="14" t="n">
        <f aca="false">1/$C$13*(1-S46)</f>
        <v>6.63507066737147</v>
      </c>
      <c r="U46" s="16" t="n">
        <f aca="false">U45-V46</f>
        <v>0</v>
      </c>
      <c r="V46" s="16" t="n">
        <f aca="false">MAXA(0,MINA(G46+H46+AH46-P46,U45))</f>
        <v>0</v>
      </c>
      <c r="W46" s="16" t="n">
        <f aca="false">U45*$C$13</f>
        <v>0</v>
      </c>
      <c r="X46" s="16" t="n">
        <f aca="false">V46+W46</f>
        <v>0</v>
      </c>
      <c r="Y46" s="14" t="n">
        <f aca="false">1/(1+$C$16)*Y47</f>
        <v>0.442285415036895</v>
      </c>
      <c r="Z46" s="14" t="n">
        <f aca="false">1/$C$16*(1-Y46)</f>
        <v>6.56134805838947</v>
      </c>
      <c r="AA46" s="16" t="n">
        <f aca="false">AA45-AB46</f>
        <v>0</v>
      </c>
      <c r="AB46" s="16" t="n">
        <f aca="false">MAXA(0,MINA(+G46+H46+AH46-P46-V46,AA45))</f>
        <v>0</v>
      </c>
      <c r="AC46" s="16" t="n">
        <f aca="false">AA45*$C$16</f>
        <v>0</v>
      </c>
      <c r="AD46" s="16" t="n">
        <f aca="false">AB46+AC46</f>
        <v>0</v>
      </c>
      <c r="AE46" s="14" t="n">
        <f aca="false">1/(1+$C$19)*AE47</f>
        <v>0.422410806895689</v>
      </c>
      <c r="AF46" s="14" t="n">
        <f aca="false">1/$C$19*(1-AE46)</f>
        <v>6.41765770115901</v>
      </c>
      <c r="AG46" s="16" t="n">
        <f aca="false">AG45+AI46</f>
        <v>15184779.1593841</v>
      </c>
      <c r="AH46" s="16" t="n">
        <f aca="false">AG45*$C$19</f>
        <v>1591932.63924357</v>
      </c>
      <c r="AI46" s="16" t="n">
        <f aca="false">AG45*$C$19-AL46-AK46+AN46-AN46</f>
        <v>-2503361.27665557</v>
      </c>
      <c r="AJ46" s="16" t="n">
        <f aca="false">AI46+AJ45</f>
        <v>184779.159384111</v>
      </c>
      <c r="AK46" s="16" t="n">
        <f aca="false">IF(AA46&gt;0,0,MINA(G46+H46-AB46,AG45))</f>
        <v>2503361.27665557</v>
      </c>
      <c r="AL46" s="16" t="n">
        <f aca="false">IF(AA46&gt;0,0,+AG45*$C$19)</f>
        <v>1591932.63924357</v>
      </c>
      <c r="AM46" s="16" t="n">
        <f aca="false">AK46+AL46</f>
        <v>4095293.91589914</v>
      </c>
      <c r="AN46" s="16"/>
      <c r="AO46" s="16" t="n">
        <f aca="false">G46+H46+K46-R46-X46-AD46-AM46</f>
        <v>468440.702180196</v>
      </c>
    </row>
    <row r="47" customFormat="false" ht="12.75" hidden="false" customHeight="false" outlineLevel="0" collapsed="false">
      <c r="A47" s="13" t="n">
        <f aca="false">A46+1</f>
        <v>21</v>
      </c>
      <c r="B47" s="14" t="n">
        <f aca="false">1/(1+$C$3)*B48</f>
        <v>0.424097618372485</v>
      </c>
      <c r="C47" s="14" t="n">
        <f aca="false">1/$C$3*(1-B47)</f>
        <v>5.75902381627515</v>
      </c>
      <c r="D47" s="15" t="n">
        <f aca="false">D46</f>
        <v>0.06</v>
      </c>
      <c r="E47" s="16" t="n">
        <f aca="false">E46-H47-G47</f>
        <v>16811992.796328</v>
      </c>
      <c r="F47" s="16" t="n">
        <f aca="false">E46/C46</f>
        <v>3122234.46002774</v>
      </c>
      <c r="G47" s="16" t="n">
        <f aca="false">(E46-H47)*D47</f>
        <v>1073105.92316987</v>
      </c>
      <c r="H47" s="16" t="n">
        <f aca="false">F47-K47</f>
        <v>1299680.43988625</v>
      </c>
      <c r="I47" s="16" t="n">
        <f aca="false">E46*$C$5</f>
        <v>95923.8957969204</v>
      </c>
      <c r="J47" s="16" t="n">
        <f aca="false">E46*C$3</f>
        <v>1918477.91593841</v>
      </c>
      <c r="K47" s="16" t="n">
        <f aca="false">J47-I47</f>
        <v>1822554.02014149</v>
      </c>
      <c r="L47" s="16" t="n">
        <f aca="false">MAXA(0,+E47-$C$7)</f>
        <v>12811992.796328</v>
      </c>
      <c r="M47" s="14" t="n">
        <f aca="false">1/(1+$C$10)*M48</f>
        <v>0.500248967131459</v>
      </c>
      <c r="N47" s="14" t="n">
        <f aca="false">1/$C$10*(1-M47)</f>
        <v>6.24688791085677</v>
      </c>
      <c r="O47" s="16" t="n">
        <f aca="false">O46-P47</f>
        <v>0</v>
      </c>
      <c r="P47" s="16" t="n">
        <f aca="false">MAXA(0,MINA(G47+H47+AH47,O46))</f>
        <v>0</v>
      </c>
      <c r="Q47" s="16" t="n">
        <f aca="false">O46*$C$10</f>
        <v>0</v>
      </c>
      <c r="R47" s="16" t="n">
        <f aca="false">P47+Q47</f>
        <v>0</v>
      </c>
      <c r="S47" s="14" t="n">
        <f aca="false">1/(1+$C$13)*S48</f>
        <v>0.489946720212057</v>
      </c>
      <c r="T47" s="14" t="n">
        <f aca="false">1/$C$13*(1-S47)</f>
        <v>6.18246399742961</v>
      </c>
      <c r="U47" s="16" t="n">
        <f aca="false">U46-V47</f>
        <v>0</v>
      </c>
      <c r="V47" s="16" t="n">
        <f aca="false">MAXA(0,MINA(G47+H47+AH47-P47,U46))</f>
        <v>0</v>
      </c>
      <c r="W47" s="16" t="n">
        <f aca="false">U46*$C$13</f>
        <v>0</v>
      </c>
      <c r="X47" s="16" t="n">
        <f aca="false">V47+W47</f>
        <v>0</v>
      </c>
      <c r="Y47" s="14" t="n">
        <f aca="false">1/(1+$C$16)*Y48</f>
        <v>0.479879675315031</v>
      </c>
      <c r="Z47" s="14" t="n">
        <f aca="false">1/$C$16*(1-Y47)</f>
        <v>6.11906264335257</v>
      </c>
      <c r="AA47" s="16" t="n">
        <f aca="false">AA46-AB47</f>
        <v>0</v>
      </c>
      <c r="AB47" s="16" t="n">
        <f aca="false">MAXA(0,MINA(+G47+H47+AH47-P47-V47,AA46))</f>
        <v>0</v>
      </c>
      <c r="AC47" s="16" t="n">
        <f aca="false">AA46*$C$16</f>
        <v>0</v>
      </c>
      <c r="AD47" s="16" t="n">
        <f aca="false">AB47+AC47</f>
        <v>0</v>
      </c>
      <c r="AE47" s="14" t="n">
        <f aca="false">1/(1+$C$19)*AE48</f>
        <v>0.460427779516301</v>
      </c>
      <c r="AF47" s="14" t="n">
        <f aca="false">1/$C$19*(1-AE47)</f>
        <v>5.99524689426332</v>
      </c>
      <c r="AG47" s="16" t="n">
        <f aca="false">AG46+AI47</f>
        <v>12811992.796328</v>
      </c>
      <c r="AH47" s="16" t="n">
        <f aca="false">AG46*$C$19</f>
        <v>1366630.12434457</v>
      </c>
      <c r="AI47" s="16" t="n">
        <f aca="false">AG46*$C$19-AL47-AK47+AN47-AN47</f>
        <v>-2372786.36305612</v>
      </c>
      <c r="AJ47" s="16" t="n">
        <f aca="false">AI47+AJ46</f>
        <v>-2188007.20367201</v>
      </c>
      <c r="AK47" s="16" t="n">
        <f aca="false">IF(AA47&gt;0,0,MINA(G47+H47-AB47,AG46))</f>
        <v>2372786.36305612</v>
      </c>
      <c r="AL47" s="16" t="n">
        <f aca="false">IF(AA47&gt;0,0,+AG46*$C$19)</f>
        <v>1366630.12434457</v>
      </c>
      <c r="AM47" s="16" t="n">
        <f aca="false">AK47+AL47</f>
        <v>3739416.48740069</v>
      </c>
      <c r="AN47" s="16"/>
      <c r="AO47" s="16" t="n">
        <f aca="false">G47+H47+K47-R47-X47-AD47-AM47</f>
        <v>455923.895796918</v>
      </c>
    </row>
    <row r="48" customFormat="false" ht="12.75" hidden="false" customHeight="false" outlineLevel="0" collapsed="false">
      <c r="A48" s="13" t="n">
        <f aca="false">A47+1</f>
        <v>22</v>
      </c>
      <c r="B48" s="14" t="n">
        <f aca="false">1/(1+$C$3)*B49</f>
        <v>0.466507380209733</v>
      </c>
      <c r="C48" s="14" t="n">
        <f aca="false">1/$C$3*(1-B48)</f>
        <v>5.33492619790267</v>
      </c>
      <c r="D48" s="15" t="n">
        <f aca="false">D47</f>
        <v>0.06</v>
      </c>
      <c r="E48" s="16" t="n">
        <f aca="false">E47-H48-G48</f>
        <v>14560495.3027161</v>
      </c>
      <c r="F48" s="16" t="n">
        <f aca="false">E47/C47</f>
        <v>2919243.49206836</v>
      </c>
      <c r="G48" s="16" t="n">
        <f aca="false">(E47-H48)*D48</f>
        <v>929393.317194645</v>
      </c>
      <c r="H48" s="16" t="n">
        <f aca="false">F48-K48</f>
        <v>1322104.17641721</v>
      </c>
      <c r="I48" s="16" t="n">
        <f aca="false">E47*$C$5</f>
        <v>84059.9639816398</v>
      </c>
      <c r="J48" s="16" t="n">
        <f aca="false">E47*C$3</f>
        <v>1681199.2796328</v>
      </c>
      <c r="K48" s="16" t="n">
        <f aca="false">J48-I48</f>
        <v>1597139.31565116</v>
      </c>
      <c r="L48" s="16" t="n">
        <f aca="false">MAXA(0,+E48-$C$7)</f>
        <v>10560495.3027161</v>
      </c>
      <c r="M48" s="14" t="n">
        <f aca="false">1/(1+$C$10)*M49</f>
        <v>0.540268884501976</v>
      </c>
      <c r="N48" s="14" t="n">
        <f aca="false">1/$C$10*(1-M48)</f>
        <v>5.74663894372531</v>
      </c>
      <c r="O48" s="16" t="n">
        <f aca="false">O47-P48</f>
        <v>0</v>
      </c>
      <c r="P48" s="16" t="n">
        <f aca="false">MAXA(0,MINA(G48+H48+AH48,O47))</f>
        <v>0</v>
      </c>
      <c r="Q48" s="16" t="n">
        <f aca="false">O47*$C$10</f>
        <v>0</v>
      </c>
      <c r="R48" s="16" t="n">
        <f aca="false">P48+Q48</f>
        <v>0</v>
      </c>
      <c r="S48" s="14" t="n">
        <f aca="false">1/(1+$C$13)*S49</f>
        <v>0.530367324629552</v>
      </c>
      <c r="T48" s="14" t="n">
        <f aca="false">1/$C$13*(1-S48)</f>
        <v>5.69251727721756</v>
      </c>
      <c r="U48" s="16" t="n">
        <f aca="false">U47-V48</f>
        <v>0</v>
      </c>
      <c r="V48" s="16" t="n">
        <f aca="false">MAXA(0,MINA(G48+H48+AH48-P48,U47))</f>
        <v>0</v>
      </c>
      <c r="W48" s="16" t="n">
        <f aca="false">U47*$C$13</f>
        <v>0</v>
      </c>
      <c r="X48" s="16" t="n">
        <f aca="false">V48+W48</f>
        <v>0</v>
      </c>
      <c r="Y48" s="14" t="n">
        <f aca="false">1/(1+$C$16)*Y49</f>
        <v>0.520669447716809</v>
      </c>
      <c r="Z48" s="14" t="n">
        <f aca="false">1/$C$16*(1-Y48)</f>
        <v>5.63918296803754</v>
      </c>
      <c r="AA48" s="16" t="n">
        <f aca="false">AA47-AB48</f>
        <v>0</v>
      </c>
      <c r="AB48" s="16" t="n">
        <f aca="false">MAXA(0,MINA(+G48+H48+AH48-P48-V48,AA47))</f>
        <v>0</v>
      </c>
      <c r="AC48" s="16" t="n">
        <f aca="false">AA47*$C$16</f>
        <v>0</v>
      </c>
      <c r="AD48" s="16" t="n">
        <f aca="false">AB48+AC48</f>
        <v>0</v>
      </c>
      <c r="AE48" s="14" t="n">
        <f aca="false">1/(1+$C$19)*AE49</f>
        <v>0.501866279672768</v>
      </c>
      <c r="AF48" s="14" t="n">
        <f aca="false">1/$C$19*(1-AE48)</f>
        <v>5.53481911474702</v>
      </c>
      <c r="AG48" s="16" t="n">
        <f aca="false">AG47+AI48</f>
        <v>10560495.3027161</v>
      </c>
      <c r="AH48" s="16" t="n">
        <f aca="false">AG47*$C$19</f>
        <v>1153079.35166952</v>
      </c>
      <c r="AI48" s="16" t="n">
        <f aca="false">AG47*$C$19-AL48-AK48+AN48-AN48</f>
        <v>-2251497.49361185</v>
      </c>
      <c r="AJ48" s="16" t="n">
        <f aca="false">AI48+AJ47</f>
        <v>-4439504.69728386</v>
      </c>
      <c r="AK48" s="16" t="n">
        <f aca="false">IF(AA48&gt;0,0,MINA(G48+H48-AB48,AG47))</f>
        <v>2251497.49361185</v>
      </c>
      <c r="AL48" s="16" t="n">
        <f aca="false">IF(AA48&gt;0,0,+AG47*$C$19)</f>
        <v>1153079.35166952</v>
      </c>
      <c r="AM48" s="16" t="n">
        <f aca="false">AK48+AL48</f>
        <v>3404576.84528137</v>
      </c>
      <c r="AN48" s="16"/>
      <c r="AO48" s="16" t="n">
        <f aca="false">G48+H48+K48-R48-X48-AD48-AM48</f>
        <v>444059.963981637</v>
      </c>
    </row>
    <row r="49" customFormat="false" ht="12.75" hidden="false" customHeight="false" outlineLevel="0" collapsed="false">
      <c r="A49" s="13" t="n">
        <f aca="false">A48+1</f>
        <v>23</v>
      </c>
      <c r="B49" s="14" t="n">
        <f aca="false">1/(1+$C$3)*B50</f>
        <v>0.513158118230707</v>
      </c>
      <c r="C49" s="14" t="n">
        <f aca="false">1/$C$3*(1-B49)</f>
        <v>4.86841881769293</v>
      </c>
      <c r="D49" s="15" t="n">
        <f aca="false">D48</f>
        <v>0.06</v>
      </c>
      <c r="E49" s="16" t="n">
        <f aca="false">E48-H49-G49</f>
        <v>12421596.7419106</v>
      </c>
      <c r="F49" s="16" t="n">
        <f aca="false">E48/C48</f>
        <v>2729277.7374203</v>
      </c>
      <c r="G49" s="16" t="n">
        <f aca="false">(E48-H49)*D49</f>
        <v>792867.877143229</v>
      </c>
      <c r="H49" s="16" t="n">
        <f aca="false">F49-K49</f>
        <v>1346030.68366227</v>
      </c>
      <c r="I49" s="16" t="n">
        <f aca="false">E48*$C$5</f>
        <v>72802.4765135805</v>
      </c>
      <c r="J49" s="16" t="n">
        <f aca="false">E48*C$3</f>
        <v>1456049.53027161</v>
      </c>
      <c r="K49" s="16" t="n">
        <f aca="false">J49-I49</f>
        <v>1383247.05375803</v>
      </c>
      <c r="L49" s="16" t="n">
        <f aca="false">MAXA(0,+E49-$C$7)</f>
        <v>8421596.7419106</v>
      </c>
      <c r="M49" s="14" t="n">
        <f aca="false">1/(1+$C$10)*M50</f>
        <v>0.583490395262134</v>
      </c>
      <c r="N49" s="14" t="n">
        <f aca="false">1/$C$10*(1-M49)</f>
        <v>5.20637005922333</v>
      </c>
      <c r="O49" s="16" t="n">
        <f aca="false">O48-P49</f>
        <v>0</v>
      </c>
      <c r="P49" s="16" t="n">
        <f aca="false">MAXA(0,MINA(G49+H49+AH49,O48))</f>
        <v>0</v>
      </c>
      <c r="Q49" s="16" t="n">
        <f aca="false">O48*$C$10</f>
        <v>0</v>
      </c>
      <c r="R49" s="16" t="n">
        <f aca="false">P49+Q49</f>
        <v>0</v>
      </c>
      <c r="S49" s="14" t="n">
        <f aca="false">1/(1+$C$13)*S50</f>
        <v>0.57412262891149</v>
      </c>
      <c r="T49" s="14" t="n">
        <f aca="false">1/$C$13*(1-S49)</f>
        <v>5.162149952588</v>
      </c>
      <c r="U49" s="16" t="n">
        <f aca="false">U48-V49</f>
        <v>0</v>
      </c>
      <c r="V49" s="16" t="n">
        <f aca="false">MAXA(0,MINA(G49+H49+AH49-P49,U48))</f>
        <v>0</v>
      </c>
      <c r="W49" s="16" t="n">
        <f aca="false">U48*$C$13</f>
        <v>0</v>
      </c>
      <c r="X49" s="16" t="n">
        <f aca="false">V49+W49</f>
        <v>0</v>
      </c>
      <c r="Y49" s="14" t="n">
        <f aca="false">1/(1+$C$16)*Y50</f>
        <v>0.564926350772738</v>
      </c>
      <c r="Z49" s="14" t="n">
        <f aca="false">1/$C$16*(1-Y49)</f>
        <v>5.11851352032073</v>
      </c>
      <c r="AA49" s="16" t="n">
        <f aca="false">AA48-AB49</f>
        <v>0</v>
      </c>
      <c r="AB49" s="16" t="n">
        <f aca="false">MAXA(0,MINA(+G49+H49+AH49-P49-V49,AA48))</f>
        <v>0</v>
      </c>
      <c r="AC49" s="16" t="n">
        <f aca="false">AA48*$C$16</f>
        <v>0</v>
      </c>
      <c r="AD49" s="16" t="n">
        <f aca="false">AB49+AC49</f>
        <v>0</v>
      </c>
      <c r="AE49" s="14" t="n">
        <f aca="false">1/(1+$C$19)*AE50</f>
        <v>0.547034244843317</v>
      </c>
      <c r="AF49" s="14" t="n">
        <f aca="false">1/$C$19*(1-AE49)</f>
        <v>5.03295283507425</v>
      </c>
      <c r="AG49" s="16" t="n">
        <f aca="false">AG48+AI49</f>
        <v>8421596.74191062</v>
      </c>
      <c r="AH49" s="16" t="n">
        <f aca="false">AG48*$C$19</f>
        <v>950444.577244451</v>
      </c>
      <c r="AI49" s="16" t="n">
        <f aca="false">AG48*$C$19-AL49-AK49+AN49-AN49</f>
        <v>-2138898.5608055</v>
      </c>
      <c r="AJ49" s="16" t="n">
        <f aca="false">AI49+AJ48</f>
        <v>-6578403.25808937</v>
      </c>
      <c r="AK49" s="16" t="n">
        <f aca="false">IF(AA49&gt;0,0,MINA(G49+H49-AB49,AG48))</f>
        <v>2138898.5608055</v>
      </c>
      <c r="AL49" s="16" t="n">
        <f aca="false">IF(AA49&gt;0,0,+AG48*$C$19)</f>
        <v>950444.577244451</v>
      </c>
      <c r="AM49" s="16" t="n">
        <f aca="false">AK49+AL49</f>
        <v>3089343.13804996</v>
      </c>
      <c r="AN49" s="16"/>
      <c r="AO49" s="16" t="n">
        <f aca="false">G49+H49+K49-R49-X49-AD49-AM49</f>
        <v>432802.476513579</v>
      </c>
    </row>
    <row r="50" customFormat="false" ht="12.75" hidden="false" customHeight="false" outlineLevel="0" collapsed="false">
      <c r="A50" s="13" t="n">
        <f aca="false">A49+1</f>
        <v>24</v>
      </c>
      <c r="B50" s="14" t="n">
        <f aca="false">1/(1+$C$3)*B51</f>
        <v>0.564473930053777</v>
      </c>
      <c r="C50" s="14" t="n">
        <f aca="false">1/$C$3*(1-B50)</f>
        <v>4.35526069946223</v>
      </c>
      <c r="D50" s="15" t="n">
        <f aca="false">D49</f>
        <v>0.06</v>
      </c>
      <c r="E50" s="16" t="n">
        <f aca="false">E49-H50-G50</f>
        <v>10387173.0977482</v>
      </c>
      <c r="F50" s="16" t="n">
        <f aca="false">E49/C49</f>
        <v>2551464.28585144</v>
      </c>
      <c r="G50" s="16" t="n">
        <f aca="false">(E49-H50)*D50</f>
        <v>663011.04879244</v>
      </c>
      <c r="H50" s="16" t="n">
        <f aca="false">F50-K50</f>
        <v>1371412.59536993</v>
      </c>
      <c r="I50" s="16" t="n">
        <f aca="false">E49*$C$5</f>
        <v>62107.983709553</v>
      </c>
      <c r="J50" s="16" t="n">
        <f aca="false">E49*C$3</f>
        <v>1242159.67419106</v>
      </c>
      <c r="K50" s="16" t="n">
        <f aca="false">J50-I50</f>
        <v>1180051.69048151</v>
      </c>
      <c r="L50" s="16" t="n">
        <f aca="false">MAXA(0,+E50-$C$7)</f>
        <v>6387173.09774823</v>
      </c>
      <c r="M50" s="14" t="n">
        <f aca="false">1/(1+$C$10)*M51</f>
        <v>0.630169626883104</v>
      </c>
      <c r="N50" s="14" t="n">
        <f aca="false">1/$C$10*(1-M50)</f>
        <v>4.6228796639612</v>
      </c>
      <c r="O50" s="16" t="n">
        <f aca="false">O49-P50</f>
        <v>0</v>
      </c>
      <c r="P50" s="16" t="n">
        <f aca="false">MAXA(0,MINA(G50+H50+AH50,O49))</f>
        <v>0</v>
      </c>
      <c r="Q50" s="16" t="n">
        <f aca="false">O49*$C$10</f>
        <v>0</v>
      </c>
      <c r="R50" s="16" t="n">
        <f aca="false">P50+Q50</f>
        <v>0</v>
      </c>
      <c r="S50" s="14" t="n">
        <f aca="false">1/(1+$C$13)*S51</f>
        <v>0.621487745796688</v>
      </c>
      <c r="T50" s="14" t="n">
        <f aca="false">1/$C$13*(1-S50)</f>
        <v>4.58802732367651</v>
      </c>
      <c r="U50" s="16" t="n">
        <f aca="false">U49-V50</f>
        <v>0</v>
      </c>
      <c r="V50" s="16" t="n">
        <f aca="false">MAXA(0,MINA(G50+H50+AH50-P50,U49))</f>
        <v>0</v>
      </c>
      <c r="W50" s="16" t="n">
        <f aca="false">U49*$C$13</f>
        <v>0</v>
      </c>
      <c r="X50" s="16" t="n">
        <f aca="false">V50+W50</f>
        <v>0</v>
      </c>
      <c r="Y50" s="14" t="n">
        <f aca="false">1/(1+$C$16)*Y51</f>
        <v>0.61294509058842</v>
      </c>
      <c r="Z50" s="14" t="n">
        <f aca="false">1/$C$16*(1-Y50)</f>
        <v>4.553587169548</v>
      </c>
      <c r="AA50" s="16" t="n">
        <f aca="false">AA49-AB50</f>
        <v>0</v>
      </c>
      <c r="AB50" s="16" t="n">
        <f aca="false">MAXA(0,MINA(+G50+H50+AH50-P50-V50,AA49))</f>
        <v>0</v>
      </c>
      <c r="AC50" s="16" t="n">
        <f aca="false">AA49*$C$16</f>
        <v>0</v>
      </c>
      <c r="AD50" s="16" t="n">
        <f aca="false">AB50+AC50</f>
        <v>0</v>
      </c>
      <c r="AE50" s="14" t="n">
        <f aca="false">1/(1+$C$19)*AE51</f>
        <v>0.596267326879216</v>
      </c>
      <c r="AF50" s="14" t="n">
        <f aca="false">1/$C$19*(1-AE50)</f>
        <v>4.48591859023094</v>
      </c>
      <c r="AG50" s="16" t="n">
        <f aca="false">AG49+AI50</f>
        <v>6387173.09774825</v>
      </c>
      <c r="AH50" s="16" t="n">
        <f aca="false">AG49*$C$19</f>
        <v>757943.706771956</v>
      </c>
      <c r="AI50" s="16" t="n">
        <f aca="false">AG49*$C$19-AL50-AK50+AN50-AN50</f>
        <v>-2034423.64416237</v>
      </c>
      <c r="AJ50" s="16" t="n">
        <f aca="false">AI50+AJ49</f>
        <v>-8612826.90225174</v>
      </c>
      <c r="AK50" s="16" t="n">
        <f aca="false">IF(AA50&gt;0,0,MINA(G50+H50-AB50,AG49))</f>
        <v>2034423.64416237</v>
      </c>
      <c r="AL50" s="16" t="n">
        <f aca="false">IF(AA50&gt;0,0,+AG49*$C$19)</f>
        <v>757943.706771956</v>
      </c>
      <c r="AM50" s="16" t="n">
        <f aca="false">AK50+AL50</f>
        <v>2792367.35093433</v>
      </c>
      <c r="AN50" s="16"/>
      <c r="AO50" s="16" t="n">
        <f aca="false">G50+H50+K50-R50-X50-AD50-AM50</f>
        <v>422107.98370955</v>
      </c>
    </row>
    <row r="51" customFormat="false" ht="12.75" hidden="false" customHeight="false" outlineLevel="0" collapsed="false">
      <c r="A51" s="13" t="n">
        <f aca="false">A50+1</f>
        <v>25</v>
      </c>
      <c r="B51" s="14" t="n">
        <f aca="false">1/(1+$C$3)*B52</f>
        <v>0.620921323059155</v>
      </c>
      <c r="C51" s="14" t="n">
        <f aca="false">1/$C$3*(1-B51)</f>
        <v>3.79078676940845</v>
      </c>
      <c r="D51" s="15" t="n">
        <f aca="false">D50</f>
        <v>0.06</v>
      </c>
      <c r="E51" s="16" t="n">
        <f aca="false">E50-H51-G51</f>
        <v>8449643.96142556</v>
      </c>
      <c r="F51" s="16" t="n">
        <f aca="false">E50/C50</f>
        <v>2384971.60434754</v>
      </c>
      <c r="G51" s="16" t="n">
        <f aca="false">(E50-H51)*D51</f>
        <v>539338.976261206</v>
      </c>
      <c r="H51" s="16" t="n">
        <f aca="false">F51-K51</f>
        <v>1398190.16006146</v>
      </c>
      <c r="I51" s="16" t="n">
        <f aca="false">E50*$C$5</f>
        <v>51935.8654887411</v>
      </c>
      <c r="J51" s="16" t="n">
        <f aca="false">E50*C$3</f>
        <v>1038717.30977482</v>
      </c>
      <c r="K51" s="16" t="n">
        <f aca="false">J51-I51</f>
        <v>986781.444286082</v>
      </c>
      <c r="L51" s="16" t="n">
        <f aca="false">MAXA(0,+E51-$C$7)</f>
        <v>4449643.96142556</v>
      </c>
      <c r="M51" s="14" t="n">
        <f aca="false">1/(1+$C$10)*M52</f>
        <v>0.680583197033753</v>
      </c>
      <c r="N51" s="14" t="n">
        <f aca="false">1/$C$10*(1-M51)</f>
        <v>3.99271003707809</v>
      </c>
      <c r="O51" s="16" t="n">
        <f aca="false">O50-P51</f>
        <v>0</v>
      </c>
      <c r="P51" s="16" t="n">
        <f aca="false">MAXA(0,MINA(G51+H51+AH51,O50))</f>
        <v>0</v>
      </c>
      <c r="Q51" s="16" t="n">
        <f aca="false">O50*$C$10</f>
        <v>0</v>
      </c>
      <c r="R51" s="16" t="n">
        <f aca="false">P51+Q51</f>
        <v>0</v>
      </c>
      <c r="S51" s="14" t="n">
        <f aca="false">1/(1+$C$13)*S52</f>
        <v>0.672760484824915</v>
      </c>
      <c r="T51" s="14" t="n">
        <f aca="false">1/$C$13*(1-S51)</f>
        <v>3.96653957787982</v>
      </c>
      <c r="U51" s="16" t="n">
        <f aca="false">U50-V51</f>
        <v>0</v>
      </c>
      <c r="V51" s="16" t="n">
        <f aca="false">MAXA(0,MINA(G51+H51+AH51-P51,U50))</f>
        <v>0</v>
      </c>
      <c r="W51" s="16" t="n">
        <f aca="false">U50*$C$13</f>
        <v>0</v>
      </c>
      <c r="X51" s="16" t="n">
        <f aca="false">V51+W51</f>
        <v>0</v>
      </c>
      <c r="Y51" s="14" t="n">
        <f aca="false">1/(1+$C$16)*Y52</f>
        <v>0.665045423288436</v>
      </c>
      <c r="Z51" s="14" t="n">
        <f aca="false">1/$C$16*(1-Y51)</f>
        <v>3.94064207895958</v>
      </c>
      <c r="AA51" s="16" t="n">
        <f aca="false">AA50-AB51</f>
        <v>0</v>
      </c>
      <c r="AB51" s="16" t="n">
        <f aca="false">MAXA(0,MINA(+G51+H51+AH51-P51-V51,AA50))</f>
        <v>0</v>
      </c>
      <c r="AC51" s="16" t="n">
        <f aca="false">AA50*$C$16</f>
        <v>0</v>
      </c>
      <c r="AD51" s="16" t="n">
        <f aca="false">AB51+AC51</f>
        <v>0</v>
      </c>
      <c r="AE51" s="14" t="n">
        <f aca="false">1/(1+$C$19)*AE52</f>
        <v>0.649931386298345</v>
      </c>
      <c r="AF51" s="14" t="n">
        <f aca="false">1/$C$19*(1-AE51)</f>
        <v>3.88965126335172</v>
      </c>
      <c r="AG51" s="16" t="n">
        <f aca="false">AG50+AI51</f>
        <v>4449643.96142559</v>
      </c>
      <c r="AH51" s="16" t="n">
        <f aca="false">AG50*$C$19</f>
        <v>574845.578797343</v>
      </c>
      <c r="AI51" s="16" t="n">
        <f aca="false">AG50*$C$19-AL51-AK51+AN51-AN51</f>
        <v>-1937529.13632267</v>
      </c>
      <c r="AJ51" s="16" t="n">
        <f aca="false">AI51+AJ50</f>
        <v>-10550356.0385744</v>
      </c>
      <c r="AK51" s="16" t="n">
        <f aca="false">IF(AA51&gt;0,0,MINA(G51+H51-AB51,AG50))</f>
        <v>1937529.13632267</v>
      </c>
      <c r="AL51" s="16" t="n">
        <f aca="false">IF(AA51&gt;0,0,+AG50*$C$19)</f>
        <v>574845.578797343</v>
      </c>
      <c r="AM51" s="16" t="n">
        <f aca="false">AK51+AL51</f>
        <v>2512374.71512001</v>
      </c>
      <c r="AN51" s="16"/>
      <c r="AO51" s="16" t="n">
        <f aca="false">G51+H51+K51-R51-X51-AD51-AM51</f>
        <v>411935.865488739</v>
      </c>
    </row>
    <row r="52" customFormat="false" ht="12.75" hidden="false" customHeight="false" outlineLevel="0" collapsed="false">
      <c r="A52" s="13" t="n">
        <f aca="false">A51+1</f>
        <v>26</v>
      </c>
      <c r="B52" s="14" t="n">
        <f aca="false">1/(1+$C$3)*B53</f>
        <v>0.683013455365071</v>
      </c>
      <c r="C52" s="14" t="n">
        <f aca="false">1/$C$3*(1-B52)</f>
        <v>3.1698654463493</v>
      </c>
      <c r="D52" s="15" t="n">
        <f aca="false">D51</f>
        <v>0.06</v>
      </c>
      <c r="E52" s="16" t="n">
        <f aca="false">E51-H52-G52</f>
        <v>6601963.42629693</v>
      </c>
      <c r="F52" s="16" t="n">
        <f aca="false">E51/C51</f>
        <v>2228994.79063659</v>
      </c>
      <c r="G52" s="16" t="n">
        <f aca="false">(E51-H52)*D52</f>
        <v>421401.920827464</v>
      </c>
      <c r="H52" s="16" t="n">
        <f aca="false">F52-K52</f>
        <v>1426278.61430117</v>
      </c>
      <c r="I52" s="16" t="n">
        <f aca="false">E51*$C$5</f>
        <v>42248.2198071278</v>
      </c>
      <c r="J52" s="16" t="n">
        <f aca="false">E51*C$3</f>
        <v>844964.396142556</v>
      </c>
      <c r="K52" s="16" t="n">
        <f aca="false">J52-I52</f>
        <v>802716.176335428</v>
      </c>
      <c r="L52" s="16" t="n">
        <f aca="false">MAXA(0,+E52-$C$7)</f>
        <v>2601963.42629693</v>
      </c>
      <c r="M52" s="14" t="n">
        <f aca="false">1/(1+$C$10)*M53</f>
        <v>0.735029852796453</v>
      </c>
      <c r="N52" s="14" t="n">
        <f aca="false">1/$C$10*(1-M52)</f>
        <v>3.31212684004434</v>
      </c>
      <c r="O52" s="16" t="n">
        <f aca="false">O51-P52</f>
        <v>0</v>
      </c>
      <c r="P52" s="16" t="n">
        <f aca="false">MAXA(0,MINA(G52+H52+AH52,O51))</f>
        <v>0</v>
      </c>
      <c r="Q52" s="16" t="n">
        <f aca="false">O51*$C$10</f>
        <v>0</v>
      </c>
      <c r="R52" s="16" t="n">
        <f aca="false">P52+Q52</f>
        <v>0</v>
      </c>
      <c r="S52" s="14" t="n">
        <f aca="false">1/(1+$C$13)*S53</f>
        <v>0.72826322482297</v>
      </c>
      <c r="T52" s="14" t="n">
        <f aca="false">1/$C$13*(1-S52)</f>
        <v>3.29377909305491</v>
      </c>
      <c r="U52" s="16" t="n">
        <f aca="false">U51-V52</f>
        <v>0</v>
      </c>
      <c r="V52" s="16" t="n">
        <f aca="false">MAXA(0,MINA(G52+H52+AH52-P52,U51))</f>
        <v>0</v>
      </c>
      <c r="W52" s="16" t="n">
        <f aca="false">U51*$C$13</f>
        <v>0</v>
      </c>
      <c r="X52" s="16" t="n">
        <f aca="false">V52+W52</f>
        <v>0</v>
      </c>
      <c r="Y52" s="14" t="n">
        <f aca="false">1/(1+$C$16)*Y53</f>
        <v>0.721574284267953</v>
      </c>
      <c r="Z52" s="14" t="n">
        <f aca="false">1/$C$16*(1-Y52)</f>
        <v>3.27559665567114</v>
      </c>
      <c r="AA52" s="16" t="n">
        <f aca="false">AA51-AB52</f>
        <v>0</v>
      </c>
      <c r="AB52" s="16" t="n">
        <f aca="false">MAXA(0,MINA(+G52+H52+AH52-P52-V52,AA51))</f>
        <v>0</v>
      </c>
      <c r="AC52" s="16" t="n">
        <f aca="false">AA51*$C$16</f>
        <v>0</v>
      </c>
      <c r="AD52" s="16" t="n">
        <f aca="false">AB52+AC52</f>
        <v>0</v>
      </c>
      <c r="AE52" s="14" t="n">
        <f aca="false">1/(1+$C$19)*AE53</f>
        <v>0.708425211065196</v>
      </c>
      <c r="AF52" s="14" t="n">
        <f aca="false">1/$C$19*(1-AE52)</f>
        <v>3.23971987705337</v>
      </c>
      <c r="AG52" s="16" t="n">
        <f aca="false">AG51+AI52</f>
        <v>2601963.42629696</v>
      </c>
      <c r="AH52" s="16" t="n">
        <f aca="false">AG51*$C$19</f>
        <v>400467.956528303</v>
      </c>
      <c r="AI52" s="16" t="n">
        <f aca="false">AG51*$C$19-AL52-AK52+AN52-AN52</f>
        <v>-1847680.53512863</v>
      </c>
      <c r="AJ52" s="16" t="n">
        <f aca="false">AI52+AJ51</f>
        <v>-12398036.573703</v>
      </c>
      <c r="AK52" s="16" t="n">
        <f aca="false">IF(AA52&gt;0,0,MINA(G52+H52-AB52,AG51))</f>
        <v>1847680.53512863</v>
      </c>
      <c r="AL52" s="16" t="n">
        <f aca="false">IF(AA52&gt;0,0,+AG51*$C$19)</f>
        <v>400467.956528303</v>
      </c>
      <c r="AM52" s="16" t="n">
        <f aca="false">AK52+AL52</f>
        <v>2248148.49165693</v>
      </c>
      <c r="AN52" s="16"/>
      <c r="AO52" s="16" t="n">
        <f aca="false">G52+H52+K52-R52-X52-AD52-AM52</f>
        <v>402248.219807126</v>
      </c>
    </row>
    <row r="53" customFormat="false" ht="12.75" hidden="false" customHeight="false" outlineLevel="0" collapsed="false">
      <c r="A53" s="13" t="n">
        <f aca="false">A52+1</f>
        <v>27</v>
      </c>
      <c r="B53" s="14" t="n">
        <f aca="false">1/(1+$C$3)*B54</f>
        <v>0.751314800901578</v>
      </c>
      <c r="C53" s="14" t="n">
        <f aca="false">1/$C$3*(1-B53)</f>
        <v>2.48685199098422</v>
      </c>
      <c r="D53" s="15" t="n">
        <f aca="false">D52</f>
        <v>0.06</v>
      </c>
      <c r="E53" s="16" t="n">
        <f aca="false">E52-H53-G53</f>
        <v>4837637.8490432</v>
      </c>
      <c r="F53" s="16" t="n">
        <f aca="false">E52/C52</f>
        <v>2082726.70813215</v>
      </c>
      <c r="G53" s="16" t="n">
        <f aca="false">(E52-H53)*D53</f>
        <v>308785.394619779</v>
      </c>
      <c r="H53" s="16" t="n">
        <f aca="false">F53-K53</f>
        <v>1455540.18263395</v>
      </c>
      <c r="I53" s="16" t="n">
        <f aca="false">E52*$C$5</f>
        <v>33009.8171314847</v>
      </c>
      <c r="J53" s="16" t="n">
        <f aca="false">E52*C$3</f>
        <v>660196.342629693</v>
      </c>
      <c r="K53" s="16" t="n">
        <f aca="false">J53-I53</f>
        <v>627186.525498208</v>
      </c>
      <c r="L53" s="16" t="n">
        <f aca="false">MAXA(0,+E53-$C$7)</f>
        <v>837637.849043204</v>
      </c>
      <c r="M53" s="14" t="n">
        <f aca="false">1/(1+$C$10)*M54</f>
        <v>0.79383224102017</v>
      </c>
      <c r="N53" s="14" t="n">
        <f aca="false">1/$C$10*(1-M53)</f>
        <v>2.57709698724788</v>
      </c>
      <c r="O53" s="16" t="n">
        <f aca="false">O52-P53</f>
        <v>0</v>
      </c>
      <c r="P53" s="16" t="n">
        <f aca="false">MAXA(0,MINA(G53+H53+AH53,O52))</f>
        <v>0</v>
      </c>
      <c r="Q53" s="16" t="n">
        <f aca="false">O52*$C$10</f>
        <v>0</v>
      </c>
      <c r="R53" s="16" t="n">
        <f aca="false">P53+Q53</f>
        <v>0</v>
      </c>
      <c r="S53" s="14" t="n">
        <f aca="false">1/(1+$C$13)*S54</f>
        <v>0.788344940870865</v>
      </c>
      <c r="T53" s="14" t="n">
        <f aca="false">1/$C$13*(1-S53)</f>
        <v>2.56551586823194</v>
      </c>
      <c r="U53" s="16" t="n">
        <f aca="false">U52-V53</f>
        <v>0</v>
      </c>
      <c r="V53" s="16" t="n">
        <f aca="false">MAXA(0,MINA(G53+H53+AH53-P53,U52))</f>
        <v>0</v>
      </c>
      <c r="W53" s="16" t="n">
        <f aca="false">U52*$C$13</f>
        <v>0</v>
      </c>
      <c r="X53" s="16" t="n">
        <f aca="false">V53+W53</f>
        <v>0</v>
      </c>
      <c r="Y53" s="14" t="n">
        <f aca="false">1/(1+$C$16)*Y54</f>
        <v>0.782908098430729</v>
      </c>
      <c r="Z53" s="14" t="n">
        <f aca="false">1/$C$16*(1-Y53)</f>
        <v>2.55402237140319</v>
      </c>
      <c r="AA53" s="16" t="n">
        <f aca="false">AA52-AB53</f>
        <v>0</v>
      </c>
      <c r="AB53" s="16" t="n">
        <f aca="false">MAXA(0,MINA(+G53+H53+AH53-P53-V53,AA52))</f>
        <v>0</v>
      </c>
      <c r="AC53" s="16" t="n">
        <f aca="false">AA52*$C$16</f>
        <v>0</v>
      </c>
      <c r="AD53" s="16" t="n">
        <f aca="false">AB53+AC53</f>
        <v>0</v>
      </c>
      <c r="AE53" s="14" t="n">
        <f aca="false">1/(1+$C$19)*AE54</f>
        <v>0.772183480061064</v>
      </c>
      <c r="AF53" s="14" t="n">
        <f aca="false">1/$C$19*(1-AE53)</f>
        <v>2.53129466598818</v>
      </c>
      <c r="AG53" s="16" t="n">
        <f aca="false">AG52+AI53</f>
        <v>837637.84904323</v>
      </c>
      <c r="AH53" s="16" t="n">
        <f aca="false">AG52*$C$19</f>
        <v>234176.708366726</v>
      </c>
      <c r="AI53" s="16" t="n">
        <f aca="false">AG52*$C$19-AL53-AK53+AN53-AN53</f>
        <v>-1764325.57725373</v>
      </c>
      <c r="AJ53" s="16" t="n">
        <f aca="false">AI53+AJ52</f>
        <v>-14162362.1509568</v>
      </c>
      <c r="AK53" s="16" t="n">
        <f aca="false">IF(AA53&gt;0,0,MINA(G53+H53-AB53,AG52))</f>
        <v>1764325.57725373</v>
      </c>
      <c r="AL53" s="16" t="n">
        <f aca="false">IF(AA53&gt;0,0,+AG52*$C$19)</f>
        <v>234176.708366726</v>
      </c>
      <c r="AM53" s="16" t="n">
        <f aca="false">AK53+AL53</f>
        <v>1998502.28562045</v>
      </c>
      <c r="AN53" s="16"/>
      <c r="AO53" s="16" t="n">
        <f aca="false">G53+H53+K53-R53-X53-AD53-AM53</f>
        <v>393009.817131482</v>
      </c>
    </row>
    <row r="54" customFormat="false" ht="12.75" hidden="false" customHeight="false" outlineLevel="0" collapsed="false">
      <c r="A54" s="13" t="n">
        <f aca="false">A53+1</f>
        <v>28</v>
      </c>
      <c r="B54" s="14" t="n">
        <f aca="false">1/(1+$C$3)*B55</f>
        <v>0.826446280991735</v>
      </c>
      <c r="C54" s="14" t="n">
        <f aca="false">1/$C$3*(1-B54)</f>
        <v>1.73553719008265</v>
      </c>
      <c r="D54" s="15" t="n">
        <f aca="false">D53</f>
        <v>0.06</v>
      </c>
      <c r="E54" s="16" t="n">
        <f aca="false">E53-H54-G54</f>
        <v>3150811.99196219</v>
      </c>
      <c r="F54" s="16" t="n">
        <f aca="false">E53/C53</f>
        <v>1945285.7936787</v>
      </c>
      <c r="G54" s="16" t="n">
        <f aca="false">(E53-H54)*D54</f>
        <v>201115.659061416</v>
      </c>
      <c r="H54" s="16" t="n">
        <f aca="false">F54-K54</f>
        <v>1485710.1980196</v>
      </c>
      <c r="I54" s="16" t="n">
        <f aca="false">E53*$C$5</f>
        <v>24188.189245216</v>
      </c>
      <c r="J54" s="16" t="n">
        <f aca="false">E53*C$3</f>
        <v>483763.784904321</v>
      </c>
      <c r="K54" s="16" t="n">
        <f aca="false">J54-I54</f>
        <v>459575.595659104</v>
      </c>
      <c r="L54" s="16" t="n">
        <f aca="false">MAXA(0,+E54-$C$7)</f>
        <v>0</v>
      </c>
      <c r="M54" s="14" t="n">
        <f aca="false">1/(1+$C$10)*M55</f>
        <v>0.857338820301783</v>
      </c>
      <c r="N54" s="14" t="n">
        <f aca="false">1/$C$10*(1-M54)</f>
        <v>1.78326474622771</v>
      </c>
      <c r="O54" s="16" t="n">
        <f aca="false">O53-P54</f>
        <v>0</v>
      </c>
      <c r="P54" s="16" t="n">
        <f aca="false">MAXA(0,MINA(G54+H54+AH54,O53))</f>
        <v>0</v>
      </c>
      <c r="Q54" s="16" t="n">
        <f aca="false">O53*$C$10</f>
        <v>0</v>
      </c>
      <c r="R54" s="16" t="n">
        <f aca="false">P54+Q54</f>
        <v>0</v>
      </c>
      <c r="S54" s="14" t="n">
        <f aca="false">1/(1+$C$13)*S55</f>
        <v>0.853383398492712</v>
      </c>
      <c r="T54" s="14" t="n">
        <f aca="false">1/$C$13*(1-S54)</f>
        <v>1.77717092736107</v>
      </c>
      <c r="U54" s="16" t="n">
        <f aca="false">U53-V54</f>
        <v>0</v>
      </c>
      <c r="V54" s="16" t="n">
        <f aca="false">MAXA(0,MINA(G54+H54+AH54-P54,U53))</f>
        <v>0</v>
      </c>
      <c r="W54" s="16" t="n">
        <f aca="false">U53*$C$13</f>
        <v>0</v>
      </c>
      <c r="X54" s="16" t="n">
        <f aca="false">V54+W54</f>
        <v>0</v>
      </c>
      <c r="Y54" s="14" t="n">
        <f aca="false">1/(1+$C$16)*Y55</f>
        <v>0.849455286797341</v>
      </c>
      <c r="Z54" s="14" t="n">
        <f aca="false">1/$C$16*(1-Y54)</f>
        <v>1.77111427297246</v>
      </c>
      <c r="AA54" s="16" t="n">
        <f aca="false">AA53-AB54</f>
        <v>0</v>
      </c>
      <c r="AB54" s="16" t="n">
        <f aca="false">MAXA(0,MINA(+G54+H54+AH54-P54-V54,AA53))</f>
        <v>0</v>
      </c>
      <c r="AC54" s="16" t="n">
        <f aca="false">AA53*$C$16</f>
        <v>0</v>
      </c>
      <c r="AD54" s="16" t="n">
        <f aca="false">AB54+AC54</f>
        <v>0</v>
      </c>
      <c r="AE54" s="14" t="n">
        <f aca="false">1/(1+$C$19)*AE55</f>
        <v>0.84167999326656</v>
      </c>
      <c r="AF54" s="14" t="n">
        <f aca="false">1/$C$19*(1-AE54)</f>
        <v>1.75911118592711</v>
      </c>
      <c r="AG54" s="16" t="n">
        <f aca="false">AG53+AI54</f>
        <v>0</v>
      </c>
      <c r="AH54" s="16" t="n">
        <f aca="false">AG53*$C$19</f>
        <v>75387.4064138907</v>
      </c>
      <c r="AI54" s="16" t="n">
        <f aca="false">AG53*$C$19-AL54-AK54+AN54-AN54</f>
        <v>-837637.84904323</v>
      </c>
      <c r="AJ54" s="16" t="n">
        <f aca="false">AI54+AJ53</f>
        <v>-15000000</v>
      </c>
      <c r="AK54" s="16" t="n">
        <f aca="false">IF(AA54&gt;0,0,MINA(G54+H54-AB54,AG53))</f>
        <v>837637.84904323</v>
      </c>
      <c r="AL54" s="16" t="n">
        <f aca="false">IF(AA54&gt;0,0,+AG53*$C$19)</f>
        <v>75387.4064138907</v>
      </c>
      <c r="AM54" s="16" t="n">
        <f aca="false">AK54+AL54</f>
        <v>913025.255457121</v>
      </c>
      <c r="AN54" s="16"/>
      <c r="AO54" s="16" t="n">
        <f aca="false">G54+H54+K54-R54-X54-AD54-AM54</f>
        <v>1233376.197283</v>
      </c>
    </row>
    <row r="55" customFormat="false" ht="12.75" hidden="false" customHeight="false" outlineLevel="0" collapsed="false">
      <c r="A55" s="13" t="n">
        <f aca="false">A54+1</f>
        <v>29</v>
      </c>
      <c r="B55" s="14" t="n">
        <f aca="false">1/(1+$C$3)*B56</f>
        <v>0.909090909090909</v>
      </c>
      <c r="C55" s="14" t="n">
        <f aca="false">1/$C$3*(1-B55)</f>
        <v>0.909090909090909</v>
      </c>
      <c r="D55" s="15" t="n">
        <f aca="false">D54</f>
        <v>0.06</v>
      </c>
      <c r="E55" s="16" t="n">
        <f aca="false">E54-H55-G55</f>
        <v>1536590.99301345</v>
      </c>
      <c r="F55" s="16" t="n">
        <f aca="false">E54/C54</f>
        <v>1815467.86203536</v>
      </c>
      <c r="G55" s="16" t="n">
        <f aca="false">(E54-H55)*D55</f>
        <v>98080.2761497945</v>
      </c>
      <c r="H55" s="16" t="n">
        <f aca="false">F55-K55</f>
        <v>1516140.72279895</v>
      </c>
      <c r="I55" s="16" t="n">
        <f aca="false">E54*$C$5</f>
        <v>15754.059959811</v>
      </c>
      <c r="J55" s="16" t="n">
        <f aca="false">E54*C$3</f>
        <v>315081.199196219</v>
      </c>
      <c r="K55" s="16" t="n">
        <f aca="false">J55-I55</f>
        <v>299327.139236408</v>
      </c>
      <c r="L55" s="16" t="n">
        <f aca="false">MAXA(0,+E55-$C$7)</f>
        <v>0</v>
      </c>
      <c r="M55" s="14" t="n">
        <f aca="false">1/(1+$C$10)*M56</f>
        <v>0.925925925925926</v>
      </c>
      <c r="N55" s="14" t="n">
        <f aca="false">1/$C$10*(1-M55)</f>
        <v>0.925925925925927</v>
      </c>
      <c r="O55" s="16" t="n">
        <f aca="false">O54-P55</f>
        <v>0</v>
      </c>
      <c r="P55" s="16" t="n">
        <f aca="false">MAXA(0,MINA(G55+H55+AH55,O54))</f>
        <v>0</v>
      </c>
      <c r="Q55" s="16" t="n">
        <f aca="false">O54*$C$10</f>
        <v>0</v>
      </c>
      <c r="R55" s="16" t="n">
        <f aca="false">P55+Q55</f>
        <v>0</v>
      </c>
      <c r="S55" s="14" t="n">
        <f aca="false">1/(1+$C$13)*S56</f>
        <v>0.92378752886836</v>
      </c>
      <c r="T55" s="14" t="n">
        <f aca="false">1/$C$13*(1-S55)</f>
        <v>0.923787528868361</v>
      </c>
      <c r="U55" s="16" t="n">
        <f aca="false">U54-V55</f>
        <v>0</v>
      </c>
      <c r="V55" s="16" t="n">
        <f aca="false">MAXA(0,MINA(G55+H55+AH55-P55,U54))</f>
        <v>0</v>
      </c>
      <c r="W55" s="16" t="n">
        <f aca="false">U54*$C$13</f>
        <v>0</v>
      </c>
      <c r="X55" s="16" t="n">
        <f aca="false">V55+W55</f>
        <v>0</v>
      </c>
      <c r="Y55" s="14" t="n">
        <f aca="false">1/(1+$C$16)*Y56</f>
        <v>0.921658986175115</v>
      </c>
      <c r="Z55" s="14" t="n">
        <f aca="false">1/$C$16*(1-Y55)</f>
        <v>0.921658986175115</v>
      </c>
      <c r="AA55" s="16" t="n">
        <f aca="false">AA54-AB55</f>
        <v>0</v>
      </c>
      <c r="AB55" s="16" t="n">
        <f aca="false">MAXA(0,MINA(+G55+H55+AH55-P55-V55,AA54))</f>
        <v>0</v>
      </c>
      <c r="AC55" s="16" t="n">
        <f aca="false">AA54*$C$16</f>
        <v>0</v>
      </c>
      <c r="AD55" s="16" t="n">
        <f aca="false">AB55+AC55</f>
        <v>0</v>
      </c>
      <c r="AE55" s="14" t="n">
        <f aca="false">1/(1+$C$19)*AE56</f>
        <v>0.91743119266055</v>
      </c>
      <c r="AF55" s="14" t="n">
        <f aca="false">1/$C$19*(1-AE55)</f>
        <v>0.917431192660551</v>
      </c>
      <c r="AG55" s="16" t="n">
        <f aca="false">AG54+AI55</f>
        <v>0</v>
      </c>
      <c r="AH55" s="16" t="n">
        <f aca="false">AG54*$C$19</f>
        <v>0</v>
      </c>
      <c r="AI55" s="16" t="n">
        <f aca="false">AG54*$C$19-AL55-AK55+AN55-AN55</f>
        <v>0</v>
      </c>
      <c r="AJ55" s="16" t="n">
        <f aca="false">AI55+AJ54</f>
        <v>-15000000</v>
      </c>
      <c r="AK55" s="16" t="n">
        <f aca="false">IF(AA55&gt;0,0,MINA(G55+H55-AB55,AG54))</f>
        <v>0</v>
      </c>
      <c r="AL55" s="16" t="n">
        <f aca="false">IF(AA55&gt;0,0,+AG54*$C$19)</f>
        <v>0</v>
      </c>
      <c r="AM55" s="16" t="n">
        <f aca="false">AK55+AL55</f>
        <v>0</v>
      </c>
      <c r="AN55" s="16"/>
      <c r="AO55" s="16" t="n">
        <f aca="false">G55+H55+K55-R55-X55-AD55-AM55</f>
        <v>1913548.13818515</v>
      </c>
    </row>
    <row r="56" customFormat="false" ht="12.75" hidden="false" customHeight="false" outlineLevel="0" collapsed="false">
      <c r="A56" s="13" t="n">
        <f aca="false">A55+1</f>
        <v>30</v>
      </c>
      <c r="B56" s="14" t="n">
        <v>1</v>
      </c>
      <c r="C56" s="14" t="n">
        <f aca="false">1/$C$3*(1-B56)</f>
        <v>0</v>
      </c>
      <c r="D56" s="15" t="n">
        <f aca="false">D55</f>
        <v>0.06</v>
      </c>
      <c r="E56" s="16" t="n">
        <f aca="false">E55-H56-G56</f>
        <v>-7221.97766716263</v>
      </c>
      <c r="F56" s="16" t="n">
        <f aca="false">E55/C55</f>
        <v>1690250.09231479</v>
      </c>
      <c r="G56" s="16" t="n">
        <f aca="false">(E55-H56)*D56</f>
        <v>-460.977297903998</v>
      </c>
      <c r="H56" s="16" t="n">
        <f aca="false">F56-K56</f>
        <v>1544273.94797851</v>
      </c>
      <c r="I56" s="16" t="n">
        <f aca="false">E55*$C$5</f>
        <v>7682.95496506724</v>
      </c>
      <c r="J56" s="16" t="n">
        <f aca="false">E55*C$3</f>
        <v>153659.099301345</v>
      </c>
      <c r="K56" s="16" t="n">
        <f aca="false">J56-I56</f>
        <v>145976.144336278</v>
      </c>
      <c r="L56" s="16" t="n">
        <f aca="false">MAXA(0,+E56-$C$7)</f>
        <v>0</v>
      </c>
      <c r="M56" s="14" t="n">
        <v>1</v>
      </c>
      <c r="N56" s="14" t="n">
        <f aca="false">1/$C$10*(1-M56)</f>
        <v>0</v>
      </c>
      <c r="O56" s="16" t="n">
        <f aca="false">O55-P56</f>
        <v>0</v>
      </c>
      <c r="P56" s="16" t="n">
        <f aca="false">MAXA(0,MINA(G56+H56+AH56,O55))</f>
        <v>0</v>
      </c>
      <c r="Q56" s="16" t="n">
        <f aca="false">O55*$C$10</f>
        <v>0</v>
      </c>
      <c r="R56" s="16" t="n">
        <f aca="false">P56+Q56</f>
        <v>0</v>
      </c>
      <c r="S56" s="14" t="n">
        <v>1</v>
      </c>
      <c r="T56" s="14" t="n">
        <f aca="false">1/$C$13*(1-S56)</f>
        <v>0</v>
      </c>
      <c r="U56" s="16" t="n">
        <f aca="false">U55-V56</f>
        <v>0</v>
      </c>
      <c r="V56" s="16" t="n">
        <f aca="false">MAXA(0,MINA(G56+H56+AH56-P56,U55))</f>
        <v>0</v>
      </c>
      <c r="W56" s="16" t="n">
        <f aca="false">U55*$C$13</f>
        <v>0</v>
      </c>
      <c r="X56" s="16" t="n">
        <f aca="false">V56+W56</f>
        <v>0</v>
      </c>
      <c r="Y56" s="14" t="n">
        <v>1</v>
      </c>
      <c r="Z56" s="14" t="n">
        <f aca="false">1/$C$16*(1-Y56)</f>
        <v>0</v>
      </c>
      <c r="AA56" s="16" t="n">
        <f aca="false">AA55-AB56</f>
        <v>0</v>
      </c>
      <c r="AB56" s="16" t="n">
        <f aca="false">MAXA(0,MINA(+G56+H56+AH56-P56-V56,AA55))</f>
        <v>0</v>
      </c>
      <c r="AC56" s="16" t="n">
        <f aca="false">AA55*$C$16</f>
        <v>0</v>
      </c>
      <c r="AD56" s="16" t="n">
        <f aca="false">AB56+AC56</f>
        <v>0</v>
      </c>
      <c r="AE56" s="14" t="n">
        <v>1</v>
      </c>
      <c r="AF56" s="14" t="n">
        <f aca="false">1/$C$19*(1-AE56)</f>
        <v>0</v>
      </c>
      <c r="AG56" s="16" t="n">
        <f aca="false">AG55+AI56</f>
        <v>0</v>
      </c>
      <c r="AH56" s="16" t="n">
        <f aca="false">AG55*$C$19</f>
        <v>0</v>
      </c>
      <c r="AI56" s="16" t="n">
        <f aca="false">AG55*$C$19-AL56-AK56+AN56-AN56</f>
        <v>0</v>
      </c>
      <c r="AJ56" s="16" t="n">
        <f aca="false">AI56+AJ55</f>
        <v>-15000000</v>
      </c>
      <c r="AK56" s="16" t="n">
        <f aca="false">IF(AA56&gt;0,0,MINA(G56+H56-AB56,AG55))</f>
        <v>0</v>
      </c>
      <c r="AL56" s="16" t="n">
        <f aca="false">IF(AA56&gt;0,0,+AG55*$C$19)</f>
        <v>0</v>
      </c>
      <c r="AM56" s="16" t="n">
        <f aca="false">AK56+AL56</f>
        <v>0</v>
      </c>
      <c r="AN56" s="16" t="n">
        <f aca="false">-AN26</f>
        <v>4000000</v>
      </c>
      <c r="AO56" s="16" t="n">
        <f aca="false">G56+H56+K56-R56-X56-AD56-AM56</f>
        <v>1689789.11501689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13"/>
  <sheetViews>
    <sheetView showFormulas="false" showGridLines="true" showRowColHeaders="true" showZeros="true" rightToLeft="false" tabSelected="false" showOutlineSymbols="true" defaultGridColor="true" view="normal" topLeftCell="AE24" colorId="64" zoomScale="100" zoomScaleNormal="100" zoomScalePageLayoutView="100" workbookViewId="0">
      <selection pane="topLeft" activeCell="AP8" activeCellId="0" sqref="AP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1.7"/>
    <col collapsed="false" customWidth="true" hidden="false" outlineLevel="0" max="4" min="4" style="1" width="14.28"/>
    <col collapsed="false" customWidth="true" hidden="false" outlineLevel="0" max="5" min="5" style="1" width="11.7"/>
    <col collapsed="false" customWidth="true" hidden="false" outlineLevel="0" max="29" min="9" style="1" width="12.28"/>
  </cols>
  <sheetData>
    <row r="1" customFormat="false" ht="12.75" hidden="false" customHeight="false" outlineLevel="0" collapsed="false">
      <c r="I1" s="5"/>
    </row>
    <row r="2" customFormat="false" ht="12.75" hidden="false" customHeight="false" outlineLevel="0" collapsed="false">
      <c r="A2" s="1" t="s">
        <v>78</v>
      </c>
      <c r="D2" s="4" t="n">
        <v>1.4</v>
      </c>
      <c r="E2" s="18" t="n">
        <v>0.8</v>
      </c>
      <c r="F2" s="18" t="n">
        <v>1</v>
      </c>
      <c r="I2" s="18" t="n">
        <v>0</v>
      </c>
      <c r="J2" s="18" t="n">
        <v>0.25</v>
      </c>
      <c r="K2" s="18" t="n">
        <v>0.5</v>
      </c>
      <c r="L2" s="18" t="n">
        <v>0.75</v>
      </c>
      <c r="M2" s="18" t="n">
        <v>1</v>
      </c>
      <c r="N2" s="18" t="n">
        <v>1.25</v>
      </c>
      <c r="O2" s="18" t="n">
        <v>1.5</v>
      </c>
      <c r="P2" s="18" t="n">
        <v>1.75</v>
      </c>
      <c r="Q2" s="18" t="n">
        <v>2</v>
      </c>
      <c r="R2" s="18" t="n">
        <v>2.25</v>
      </c>
      <c r="S2" s="18" t="n">
        <v>2.5</v>
      </c>
      <c r="T2" s="18" t="n">
        <v>2.75</v>
      </c>
      <c r="U2" s="18" t="n">
        <v>3</v>
      </c>
      <c r="V2" s="18" t="n">
        <v>3.25</v>
      </c>
      <c r="W2" s="18" t="n">
        <v>3.5</v>
      </c>
      <c r="X2" s="18" t="n">
        <v>3.75</v>
      </c>
      <c r="Y2" s="18" t="n">
        <v>4</v>
      </c>
      <c r="Z2" s="18" t="n">
        <v>4.25</v>
      </c>
      <c r="AA2" s="18" t="n">
        <v>4.5</v>
      </c>
      <c r="AB2" s="18" t="n">
        <v>4.75</v>
      </c>
      <c r="AC2" s="18" t="n">
        <v>5</v>
      </c>
    </row>
    <row r="3" customFormat="false" ht="12.75" hidden="false" customHeight="false" outlineLevel="0" collapsed="false">
      <c r="A3" s="1" t="s">
        <v>79</v>
      </c>
      <c r="C3" s="19" t="n">
        <f aca="false">Tranches!C15</f>
        <v>25000000</v>
      </c>
      <c r="D3" s="21" t="n">
        <f aca="false">C3*D2</f>
        <v>35000000</v>
      </c>
      <c r="E3" s="19" t="n">
        <f aca="false">C3*E2</f>
        <v>20000000</v>
      </c>
      <c r="F3" s="1" t="n">
        <f aca="false">+C3*F2</f>
        <v>25000000</v>
      </c>
      <c r="I3" s="1" t="n">
        <v>1</v>
      </c>
      <c r="J3" s="1" t="n">
        <v>2</v>
      </c>
      <c r="K3" s="1" t="n">
        <v>3</v>
      </c>
      <c r="L3" s="1" t="n">
        <v>4</v>
      </c>
      <c r="M3" s="1" t="n">
        <v>5</v>
      </c>
      <c r="N3" s="1" t="n">
        <v>6</v>
      </c>
      <c r="O3" s="1" t="n">
        <v>7</v>
      </c>
      <c r="P3" s="1" t="n">
        <v>8</v>
      </c>
      <c r="Q3" s="1" t="n">
        <v>9</v>
      </c>
      <c r="R3" s="1" t="n">
        <v>10</v>
      </c>
      <c r="S3" s="1" t="n">
        <v>11</v>
      </c>
      <c r="T3" s="1" t="n">
        <v>12</v>
      </c>
      <c r="U3" s="1" t="n">
        <v>13</v>
      </c>
      <c r="V3" s="1" t="n">
        <v>14</v>
      </c>
      <c r="W3" s="1" t="n">
        <v>15</v>
      </c>
      <c r="X3" s="1" t="n">
        <v>16</v>
      </c>
      <c r="Y3" s="1" t="n">
        <v>17</v>
      </c>
      <c r="Z3" s="1" t="n">
        <v>18</v>
      </c>
      <c r="AA3" s="1" t="n">
        <v>19</v>
      </c>
      <c r="AB3" s="1" t="n">
        <v>20</v>
      </c>
      <c r="AC3" s="1" t="n">
        <v>21</v>
      </c>
    </row>
    <row r="4" customFormat="false" ht="12.75" hidden="false" customHeight="false" outlineLevel="0" collapsed="false">
      <c r="B4" s="1" t="s">
        <v>80</v>
      </c>
      <c r="D4" s="1" t="s">
        <v>8</v>
      </c>
      <c r="E4" s="1" t="s">
        <v>9</v>
      </c>
      <c r="F4" s="1" t="s">
        <v>81</v>
      </c>
      <c r="I4" s="19" t="n">
        <f aca="false">-$F$3</f>
        <v>-25000000</v>
      </c>
      <c r="J4" s="19" t="n">
        <f aca="false">-$F$3</f>
        <v>-25000000</v>
      </c>
      <c r="K4" s="19" t="n">
        <f aca="false">-$F$3</f>
        <v>-25000000</v>
      </c>
      <c r="L4" s="19" t="n">
        <f aca="false">-$F$3</f>
        <v>-25000000</v>
      </c>
      <c r="M4" s="19" t="n">
        <f aca="false">-$F$3</f>
        <v>-25000000</v>
      </c>
      <c r="N4" s="19" t="n">
        <f aca="false">-$F$3</f>
        <v>-25000000</v>
      </c>
      <c r="O4" s="19" t="n">
        <f aca="false">-$F$3</f>
        <v>-25000000</v>
      </c>
      <c r="P4" s="19" t="n">
        <f aca="false">-$F$3</f>
        <v>-25000000</v>
      </c>
      <c r="Q4" s="19" t="n">
        <f aca="false">-$F$3</f>
        <v>-25000000</v>
      </c>
      <c r="R4" s="19" t="n">
        <f aca="false">-$F$3</f>
        <v>-25000000</v>
      </c>
      <c r="S4" s="19" t="n">
        <f aca="false">-$F$3</f>
        <v>-25000000</v>
      </c>
      <c r="T4" s="19" t="n">
        <f aca="false">-$F$3</f>
        <v>-25000000</v>
      </c>
      <c r="U4" s="19" t="n">
        <f aca="false">-$F$3</f>
        <v>-25000000</v>
      </c>
      <c r="V4" s="19" t="n">
        <f aca="false">-$F$3</f>
        <v>-25000000</v>
      </c>
      <c r="W4" s="19" t="n">
        <f aca="false">-$F$3</f>
        <v>-25000000</v>
      </c>
      <c r="X4" s="19" t="n">
        <f aca="false">-$F$3</f>
        <v>-25000000</v>
      </c>
      <c r="Y4" s="19" t="n">
        <f aca="false">-$F$3</f>
        <v>-25000000</v>
      </c>
      <c r="Z4" s="19" t="n">
        <f aca="false">-$F$3</f>
        <v>-25000000</v>
      </c>
      <c r="AA4" s="19" t="n">
        <f aca="false">-$F$3</f>
        <v>-25000000</v>
      </c>
      <c r="AB4" s="19" t="n">
        <f aca="false">-$F$3</f>
        <v>-25000000</v>
      </c>
      <c r="AC4" s="19" t="n">
        <f aca="false">-$F$3</f>
        <v>-25000000</v>
      </c>
    </row>
    <row r="5" customFormat="false" ht="12.75" hidden="false" customHeight="false" outlineLevel="0" collapsed="false">
      <c r="A5" s="1" t="n">
        <v>1</v>
      </c>
      <c r="B5" s="18" t="n">
        <v>0</v>
      </c>
      <c r="C5" s="4" t="n">
        <f aca="false">$I$36</f>
        <v>0.0849999999999999</v>
      </c>
      <c r="D5" s="4" t="n">
        <v>0.0479376139903351</v>
      </c>
      <c r="E5" s="4" t="n">
        <v>0.112870336884893</v>
      </c>
      <c r="F5" s="4" t="n">
        <v>0.0850000000000001</v>
      </c>
      <c r="H5" s="1" t="n">
        <v>1</v>
      </c>
      <c r="I5" s="1" t="n">
        <v>2125000</v>
      </c>
      <c r="J5" s="1" t="n">
        <v>2125000</v>
      </c>
      <c r="K5" s="1" t="n">
        <v>2125000</v>
      </c>
      <c r="L5" s="1" t="n">
        <v>2125000</v>
      </c>
      <c r="M5" s="1" t="n">
        <v>2125000</v>
      </c>
      <c r="N5" s="1" t="n">
        <v>2125000</v>
      </c>
      <c r="O5" s="1" t="n">
        <v>2125000</v>
      </c>
      <c r="P5" s="1" t="n">
        <v>2125000</v>
      </c>
      <c r="Q5" s="1" t="n">
        <v>2125000</v>
      </c>
      <c r="R5" s="1" t="n">
        <v>2125000</v>
      </c>
      <c r="S5" s="1" t="n">
        <v>2125000</v>
      </c>
      <c r="T5" s="1" t="n">
        <v>2125000</v>
      </c>
      <c r="U5" s="1" t="n">
        <v>2125000</v>
      </c>
      <c r="V5" s="1" t="n">
        <v>2125000</v>
      </c>
      <c r="W5" s="1" t="n">
        <v>2125000</v>
      </c>
      <c r="X5" s="1" t="n">
        <v>2125000</v>
      </c>
      <c r="Y5" s="1" t="n">
        <v>2125000</v>
      </c>
      <c r="Z5" s="1" t="n">
        <v>2125000</v>
      </c>
      <c r="AA5" s="1" t="n">
        <v>2125000</v>
      </c>
      <c r="AB5" s="1" t="n">
        <v>2125000</v>
      </c>
      <c r="AC5" s="1" t="n">
        <v>2125000</v>
      </c>
    </row>
    <row r="6" customFormat="false" ht="12.75" hidden="false" customHeight="false" outlineLevel="0" collapsed="false">
      <c r="A6" s="1" t="n">
        <v>2</v>
      </c>
      <c r="B6" s="18" t="n">
        <f aca="false">B5+0.25</f>
        <v>0.25</v>
      </c>
      <c r="C6" s="4" t="n">
        <f aca="false">$J$36</f>
        <v>0.0850000000000001</v>
      </c>
      <c r="D6" s="4" t="n">
        <v>0.0452897429506429</v>
      </c>
      <c r="E6" s="4" t="n">
        <v>0.114601494265555</v>
      </c>
      <c r="F6" s="4" t="n">
        <v>0.0850000000000001</v>
      </c>
      <c r="H6" s="1" t="n">
        <v>2</v>
      </c>
      <c r="I6" s="1" t="n">
        <v>2125000</v>
      </c>
      <c r="J6" s="1" t="n">
        <v>2125000</v>
      </c>
      <c r="K6" s="1" t="n">
        <v>2125000</v>
      </c>
      <c r="L6" s="1" t="n">
        <v>2125000</v>
      </c>
      <c r="M6" s="1" t="n">
        <v>2125000</v>
      </c>
      <c r="N6" s="1" t="n">
        <v>2125000</v>
      </c>
      <c r="O6" s="1" t="n">
        <v>2125000</v>
      </c>
      <c r="P6" s="1" t="n">
        <v>2125000</v>
      </c>
      <c r="Q6" s="1" t="n">
        <v>2125000</v>
      </c>
      <c r="R6" s="1" t="n">
        <v>2125000</v>
      </c>
      <c r="S6" s="1" t="n">
        <v>2125000</v>
      </c>
      <c r="T6" s="1" t="n">
        <v>2125000</v>
      </c>
      <c r="U6" s="1" t="n">
        <v>2125000</v>
      </c>
      <c r="V6" s="1" t="n">
        <v>2125000</v>
      </c>
      <c r="W6" s="1" t="n">
        <v>2125000</v>
      </c>
      <c r="X6" s="1" t="n">
        <v>2125000</v>
      </c>
      <c r="Y6" s="1" t="n">
        <v>2125000</v>
      </c>
      <c r="Z6" s="1" t="n">
        <v>2125000</v>
      </c>
      <c r="AA6" s="1" t="n">
        <v>2125000</v>
      </c>
      <c r="AB6" s="1" t="n">
        <v>2125000</v>
      </c>
      <c r="AC6" s="1" t="n">
        <v>2125000</v>
      </c>
    </row>
    <row r="7" customFormat="false" ht="12.75" hidden="false" customHeight="false" outlineLevel="0" collapsed="false">
      <c r="A7" s="1" t="n">
        <v>3</v>
      </c>
      <c r="B7" s="18" t="n">
        <f aca="false">B6+0.25</f>
        <v>0.5</v>
      </c>
      <c r="C7" s="4" t="n">
        <f aca="false">$K$36</f>
        <v>0.0850000000000001</v>
      </c>
      <c r="D7" s="4" t="n">
        <v>0.0426659093035946</v>
      </c>
      <c r="E7" s="4" t="n">
        <v>0.116354802396872</v>
      </c>
      <c r="F7" s="4" t="n">
        <v>0.0850000000000005</v>
      </c>
      <c r="H7" s="1" t="n">
        <v>3</v>
      </c>
      <c r="I7" s="1" t="n">
        <v>2125000</v>
      </c>
      <c r="J7" s="1" t="n">
        <v>2125000</v>
      </c>
      <c r="K7" s="1" t="n">
        <v>2125000</v>
      </c>
      <c r="L7" s="1" t="n">
        <v>2125000</v>
      </c>
      <c r="M7" s="1" t="n">
        <v>2125000</v>
      </c>
      <c r="N7" s="1" t="n">
        <v>2125000</v>
      </c>
      <c r="O7" s="1" t="n">
        <v>2125000</v>
      </c>
      <c r="P7" s="1" t="n">
        <v>2125000</v>
      </c>
      <c r="Q7" s="1" t="n">
        <v>2125000</v>
      </c>
      <c r="R7" s="1" t="n">
        <v>2125000</v>
      </c>
      <c r="S7" s="1" t="n">
        <v>2125000</v>
      </c>
      <c r="T7" s="1" t="n">
        <v>2125000</v>
      </c>
      <c r="U7" s="1" t="n">
        <v>2125000</v>
      </c>
      <c r="V7" s="1" t="n">
        <v>2125000</v>
      </c>
      <c r="W7" s="1" t="n">
        <v>2125000</v>
      </c>
      <c r="X7" s="1" t="n">
        <v>2125000</v>
      </c>
      <c r="Y7" s="1" t="n">
        <v>2125000</v>
      </c>
      <c r="Z7" s="1" t="n">
        <v>2125000</v>
      </c>
      <c r="AA7" s="1" t="n">
        <v>2125000</v>
      </c>
      <c r="AB7" s="1" t="n">
        <v>2125000</v>
      </c>
      <c r="AC7" s="1" t="n">
        <v>2125000</v>
      </c>
    </row>
    <row r="8" customFormat="false" ht="12.75" hidden="false" customHeight="false" outlineLevel="0" collapsed="false">
      <c r="A8" s="1" t="n">
        <v>4</v>
      </c>
      <c r="B8" s="18" t="n">
        <f aca="false">B7+0.25</f>
        <v>0.75</v>
      </c>
      <c r="C8" s="4" t="n">
        <f aca="false">$L$36</f>
        <v>0.085</v>
      </c>
      <c r="D8" s="4" t="n">
        <v>0.0398567840358459</v>
      </c>
      <c r="E8" s="4" t="n">
        <v>0.118262524353331</v>
      </c>
      <c r="F8" s="4" t="n">
        <v>0.0850000000000003</v>
      </c>
      <c r="H8" s="1" t="n">
        <v>4</v>
      </c>
      <c r="I8" s="1" t="n">
        <v>2125000</v>
      </c>
      <c r="J8" s="1" t="n">
        <v>2125000</v>
      </c>
      <c r="K8" s="1" t="n">
        <v>2125000</v>
      </c>
      <c r="L8" s="1" t="n">
        <v>2125000</v>
      </c>
      <c r="M8" s="1" t="n">
        <v>2125000</v>
      </c>
      <c r="N8" s="1" t="n">
        <v>2125000</v>
      </c>
      <c r="O8" s="1" t="n">
        <v>2125000</v>
      </c>
      <c r="P8" s="1" t="n">
        <v>2125000</v>
      </c>
      <c r="Q8" s="1" t="n">
        <v>2125000</v>
      </c>
      <c r="R8" s="1" t="n">
        <v>2125000</v>
      </c>
      <c r="S8" s="1" t="n">
        <v>2125000</v>
      </c>
      <c r="T8" s="1" t="n">
        <v>2125000</v>
      </c>
      <c r="U8" s="1" t="n">
        <v>2125000</v>
      </c>
      <c r="V8" s="1" t="n">
        <v>2125000</v>
      </c>
      <c r="W8" s="1" t="n">
        <v>2125000</v>
      </c>
      <c r="X8" s="1" t="n">
        <v>3561166.15963704</v>
      </c>
      <c r="Y8" s="1" t="n">
        <v>6014405.94085103</v>
      </c>
      <c r="Z8" s="1" t="n">
        <v>8381887.11575438</v>
      </c>
      <c r="AA8" s="1" t="n">
        <v>10665354.570762</v>
      </c>
      <c r="AB8" s="1" t="n">
        <v>12866539.6312501</v>
      </c>
      <c r="AC8" s="1" t="n">
        <v>14987160.061556</v>
      </c>
    </row>
    <row r="9" customFormat="false" ht="12.75" hidden="false" customHeight="false" outlineLevel="0" collapsed="false">
      <c r="A9" s="1" t="n">
        <v>5</v>
      </c>
      <c r="B9" s="18" t="n">
        <f aca="false">B8+0.25</f>
        <v>1</v>
      </c>
      <c r="C9" s="4" t="n">
        <f aca="false">$M$36</f>
        <v>0.085</v>
      </c>
      <c r="D9" s="4" t="n">
        <v>0.0370592856482858</v>
      </c>
      <c r="E9" s="4" t="n">
        <v>0.12018183875209</v>
      </c>
      <c r="F9" s="4" t="n">
        <v>0.085</v>
      </c>
      <c r="H9" s="1" t="n">
        <v>5</v>
      </c>
      <c r="I9" s="1" t="n">
        <v>2125000</v>
      </c>
      <c r="J9" s="1" t="n">
        <v>2125000</v>
      </c>
      <c r="K9" s="1" t="n">
        <v>2125000</v>
      </c>
      <c r="L9" s="1" t="n">
        <v>2125000</v>
      </c>
      <c r="M9" s="1" t="n">
        <v>2125000</v>
      </c>
      <c r="N9" s="1" t="n">
        <v>2125000</v>
      </c>
      <c r="O9" s="1" t="n">
        <v>2125000</v>
      </c>
      <c r="P9" s="1" t="n">
        <v>2125000</v>
      </c>
      <c r="Q9" s="1" t="n">
        <v>2125000</v>
      </c>
      <c r="R9" s="1" t="n">
        <v>2125000</v>
      </c>
      <c r="S9" s="1" t="n">
        <v>2220442.74046936</v>
      </c>
      <c r="T9" s="1" t="n">
        <v>5520021.91195836</v>
      </c>
      <c r="U9" s="1" t="n">
        <v>8657857.15779833</v>
      </c>
      <c r="V9" s="1" t="n">
        <v>11639558.9934091</v>
      </c>
      <c r="W9" s="1" t="n">
        <v>14470620.7485138</v>
      </c>
      <c r="X9" s="1" t="n">
        <v>15598179.2815249</v>
      </c>
      <c r="Y9" s="1" t="n">
        <v>15482211.9473429</v>
      </c>
      <c r="Z9" s="1" t="n">
        <v>15324439.4714098</v>
      </c>
      <c r="AA9" s="1" t="n">
        <v>15128003.2148195</v>
      </c>
      <c r="AB9" s="1" t="n">
        <v>14895947.054655</v>
      </c>
      <c r="AC9" s="1" t="n">
        <v>13169556.3332117</v>
      </c>
    </row>
    <row r="10" customFormat="false" ht="12.75" hidden="false" customHeight="false" outlineLevel="0" collapsed="false">
      <c r="A10" s="1" t="n">
        <v>6</v>
      </c>
      <c r="B10" s="18" t="n">
        <f aca="false">B9+0.25</f>
        <v>1.25</v>
      </c>
      <c r="C10" s="4" t="n">
        <f aca="false">$N$36</f>
        <v>0.0850000000000001</v>
      </c>
      <c r="D10" s="4" t="n">
        <v>0.0341511825236739</v>
      </c>
      <c r="E10" s="4" t="n">
        <v>0.122210831733257</v>
      </c>
      <c r="F10" s="4" t="n">
        <v>0.085</v>
      </c>
      <c r="H10" s="1" t="n">
        <v>6</v>
      </c>
      <c r="I10" s="1" t="n">
        <v>2125000</v>
      </c>
      <c r="J10" s="1" t="n">
        <v>2125000</v>
      </c>
      <c r="K10" s="1" t="n">
        <v>2125000</v>
      </c>
      <c r="L10" s="1" t="n">
        <v>2125000</v>
      </c>
      <c r="M10" s="1" t="n">
        <v>2125000</v>
      </c>
      <c r="N10" s="1" t="n">
        <v>2125000</v>
      </c>
      <c r="O10" s="1" t="n">
        <v>2125000</v>
      </c>
      <c r="P10" s="1" t="n">
        <v>2125000</v>
      </c>
      <c r="Q10" s="1" t="n">
        <v>5329869.27904684</v>
      </c>
      <c r="R10" s="1" t="n">
        <v>9283777.36516682</v>
      </c>
      <c r="S10" s="1" t="n">
        <v>12882770.2686413</v>
      </c>
      <c r="T10" s="1" t="n">
        <v>12766341.9577547</v>
      </c>
      <c r="U10" s="1" t="n">
        <v>12598459.6883467</v>
      </c>
      <c r="V10" s="1" t="n">
        <v>12384593.1115209</v>
      </c>
      <c r="W10" s="1" t="n">
        <v>12129918.4735266</v>
      </c>
      <c r="X10" s="1" t="n">
        <v>10815909.7722668</v>
      </c>
      <c r="Y10" s="1" t="n">
        <v>8053719.12841457</v>
      </c>
      <c r="Z10" s="1" t="n">
        <v>5437844.23867639</v>
      </c>
      <c r="AA10" s="1" t="n">
        <v>2962822.60235545</v>
      </c>
      <c r="AB10" s="1" t="n">
        <v>623313.453300876</v>
      </c>
      <c r="AC10" s="1" t="n">
        <v>0</v>
      </c>
    </row>
    <row r="11" customFormat="false" ht="12.75" hidden="false" customHeight="false" outlineLevel="0" collapsed="false">
      <c r="A11" s="1" t="n">
        <v>7</v>
      </c>
      <c r="B11" s="18" t="n">
        <f aca="false">B10+0.25</f>
        <v>1.5</v>
      </c>
      <c r="C11" s="4" t="n">
        <f aca="false">$O$36</f>
        <v>0.085</v>
      </c>
      <c r="D11" s="4" t="n">
        <v>0.0312661228062314</v>
      </c>
      <c r="E11" s="4" t="n">
        <v>0.124239100588066</v>
      </c>
      <c r="F11" s="4" t="n">
        <v>0.085</v>
      </c>
      <c r="H11" s="1" t="n">
        <v>7</v>
      </c>
      <c r="I11" s="1" t="n">
        <v>2125000</v>
      </c>
      <c r="J11" s="1" t="n">
        <v>2125000</v>
      </c>
      <c r="K11" s="1" t="n">
        <v>2125000</v>
      </c>
      <c r="L11" s="1" t="n">
        <v>2125000</v>
      </c>
      <c r="M11" s="1" t="n">
        <v>2125000</v>
      </c>
      <c r="N11" s="1" t="n">
        <v>2125000</v>
      </c>
      <c r="O11" s="1" t="n">
        <v>5406474.84705215</v>
      </c>
      <c r="P11" s="1" t="n">
        <v>10220355.1965925</v>
      </c>
      <c r="Q11" s="1" t="n">
        <v>11185894.5164803</v>
      </c>
      <c r="R11" s="1" t="n">
        <v>10991182.3330475</v>
      </c>
      <c r="S11" s="1" t="n">
        <v>10743999.8045022</v>
      </c>
      <c r="T11" s="1" t="n">
        <v>10452089.5294053</v>
      </c>
      <c r="U11" s="1" t="n">
        <v>8070653.47055469</v>
      </c>
      <c r="V11" s="1" t="n">
        <v>4792564.76298385</v>
      </c>
      <c r="W11" s="1" t="n">
        <v>1736090.07055445</v>
      </c>
      <c r="X11" s="1" t="n">
        <v>0</v>
      </c>
      <c r="Y11" s="1" t="n">
        <v>0</v>
      </c>
      <c r="Z11" s="1" t="n">
        <v>0</v>
      </c>
      <c r="AA11" s="1" t="n">
        <v>0</v>
      </c>
      <c r="AB11" s="1" t="n">
        <v>0</v>
      </c>
      <c r="AC11" s="1" t="n">
        <v>0</v>
      </c>
    </row>
    <row r="12" customFormat="false" ht="12.75" hidden="false" customHeight="false" outlineLevel="0" collapsed="false">
      <c r="A12" s="1" t="n">
        <v>8</v>
      </c>
      <c r="B12" s="18" t="n">
        <f aca="false">B11+0.25</f>
        <v>1.75</v>
      </c>
      <c r="C12" s="4" t="n">
        <f aca="false">$P$36</f>
        <v>0.085</v>
      </c>
      <c r="D12" s="4" t="n">
        <v>0.0284813529724383</v>
      </c>
      <c r="E12" s="4" t="n">
        <v>0.126183061011499</v>
      </c>
      <c r="F12" s="4" t="n">
        <v>0.0850000000000001</v>
      </c>
      <c r="H12" s="1" t="n">
        <v>8</v>
      </c>
      <c r="I12" s="1" t="n">
        <v>2125000</v>
      </c>
      <c r="J12" s="1" t="n">
        <v>2125000</v>
      </c>
      <c r="K12" s="1" t="n">
        <v>2125000</v>
      </c>
      <c r="L12" s="1" t="n">
        <v>2125000</v>
      </c>
      <c r="M12" s="1" t="n">
        <v>2229569.71548637</v>
      </c>
      <c r="N12" s="1" t="n">
        <v>8259086.15385885</v>
      </c>
      <c r="O12" s="1" t="n">
        <v>10187943.4608104</v>
      </c>
      <c r="P12" s="1" t="n">
        <v>9955152.26783887</v>
      </c>
      <c r="Q12" s="1" t="n">
        <v>9664641.66094828</v>
      </c>
      <c r="R12" s="1" t="n">
        <v>9077700.48493498</v>
      </c>
      <c r="S12" s="1" t="n">
        <v>4987161.13315221</v>
      </c>
      <c r="T12" s="1" t="n">
        <v>1226429.50709632</v>
      </c>
      <c r="U12" s="1" t="n">
        <v>0</v>
      </c>
      <c r="V12" s="1" t="n">
        <v>0</v>
      </c>
      <c r="W12" s="1" t="n">
        <v>0</v>
      </c>
      <c r="X12" s="1" t="n">
        <v>0</v>
      </c>
      <c r="Y12" s="1" t="n">
        <v>0</v>
      </c>
      <c r="Z12" s="1" t="n">
        <v>0</v>
      </c>
      <c r="AA12" s="1" t="n">
        <v>0</v>
      </c>
      <c r="AB12" s="1" t="n">
        <v>0</v>
      </c>
      <c r="AC12" s="1" t="n">
        <v>0</v>
      </c>
    </row>
    <row r="13" customFormat="false" ht="12.75" hidden="false" customHeight="false" outlineLevel="0" collapsed="false">
      <c r="A13" s="1" t="n">
        <v>9</v>
      </c>
      <c r="B13" s="18" t="n">
        <f aca="false">B12+0.25</f>
        <v>2</v>
      </c>
      <c r="C13" s="4" t="n">
        <f aca="false">$Q$36</f>
        <v>0.0849999999999999</v>
      </c>
      <c r="D13" s="4" t="n">
        <v>0.0257669250612999</v>
      </c>
      <c r="E13" s="4" t="n">
        <v>0.128148124793704</v>
      </c>
      <c r="F13" s="4" t="n">
        <v>0.0850000000000001</v>
      </c>
      <c r="H13" s="1" t="n">
        <v>9</v>
      </c>
      <c r="I13" s="1" t="n">
        <v>2125000</v>
      </c>
      <c r="J13" s="1" t="n">
        <v>2125000</v>
      </c>
      <c r="K13" s="1" t="n">
        <v>2125000</v>
      </c>
      <c r="L13" s="1" t="n">
        <v>2747875.72056603</v>
      </c>
      <c r="M13" s="1" t="n">
        <v>9659547.202857</v>
      </c>
      <c r="N13" s="1" t="n">
        <v>9421532.46136124</v>
      </c>
      <c r="O13" s="1" t="n">
        <v>9113321.4497702</v>
      </c>
      <c r="P13" s="1" t="n">
        <v>8749914.16721868</v>
      </c>
      <c r="Q13" s="1" t="n">
        <v>4184232.57353447</v>
      </c>
      <c r="R13" s="1" t="n">
        <v>0</v>
      </c>
      <c r="S13" s="1" t="n">
        <v>0</v>
      </c>
      <c r="T13" s="1" t="n">
        <v>0</v>
      </c>
      <c r="U13" s="1" t="n">
        <v>0</v>
      </c>
      <c r="V13" s="1" t="n">
        <v>0</v>
      </c>
      <c r="W13" s="1" t="n">
        <v>0</v>
      </c>
      <c r="X13" s="1" t="n">
        <v>0</v>
      </c>
      <c r="Y13" s="1" t="n">
        <v>0</v>
      </c>
      <c r="Z13" s="1" t="n">
        <v>0</v>
      </c>
      <c r="AA13" s="1" t="n">
        <v>0</v>
      </c>
      <c r="AB13" s="1" t="n">
        <v>0</v>
      </c>
      <c r="AC13" s="1" t="n">
        <v>0</v>
      </c>
    </row>
    <row r="14" customFormat="false" ht="12.75" hidden="false" customHeight="false" outlineLevel="0" collapsed="false">
      <c r="A14" s="1" t="n">
        <v>10</v>
      </c>
      <c r="B14" s="18" t="n">
        <f aca="false">B13+0.25</f>
        <v>2.25</v>
      </c>
      <c r="C14" s="4" t="n">
        <f aca="false">$R$36</f>
        <v>0.0850000000000001</v>
      </c>
      <c r="D14" s="4" t="n">
        <v>0.0228538334404752</v>
      </c>
      <c r="E14" s="4" t="n">
        <v>0.130209259889985</v>
      </c>
      <c r="F14" s="4" t="n">
        <v>0.0849999999999999</v>
      </c>
      <c r="H14" s="1" t="n">
        <v>10</v>
      </c>
      <c r="I14" s="1" t="n">
        <v>2125000</v>
      </c>
      <c r="J14" s="1" t="n">
        <v>2125000</v>
      </c>
      <c r="K14" s="1" t="n">
        <v>2125000</v>
      </c>
      <c r="L14" s="1" t="n">
        <v>9238770.47734438</v>
      </c>
      <c r="M14" s="1" t="n">
        <v>8941816.53223996</v>
      </c>
      <c r="N14" s="1" t="n">
        <v>8571980.55041426</v>
      </c>
      <c r="O14" s="1" t="n">
        <v>5859380.47524607</v>
      </c>
      <c r="P14" s="1" t="n">
        <v>379007.969441233</v>
      </c>
      <c r="Q14" s="1" t="n">
        <v>0</v>
      </c>
      <c r="R14" s="1" t="n">
        <v>0</v>
      </c>
      <c r="S14" s="1" t="n">
        <v>0</v>
      </c>
      <c r="T14" s="1" t="n">
        <v>0</v>
      </c>
      <c r="U14" s="1" t="n">
        <v>0</v>
      </c>
      <c r="V14" s="1" t="n">
        <v>0</v>
      </c>
      <c r="W14" s="1" t="n">
        <v>0</v>
      </c>
      <c r="X14" s="1" t="n">
        <v>0</v>
      </c>
      <c r="Y14" s="1" t="n">
        <v>0</v>
      </c>
      <c r="Z14" s="1" t="n">
        <v>0</v>
      </c>
      <c r="AA14" s="1" t="n">
        <v>0</v>
      </c>
      <c r="AB14" s="1" t="n">
        <v>0</v>
      </c>
      <c r="AC14" s="1" t="n">
        <v>0</v>
      </c>
    </row>
    <row r="15" customFormat="false" ht="12.75" hidden="false" customHeight="false" outlineLevel="0" collapsed="false">
      <c r="A15" s="1" t="n">
        <v>11</v>
      </c>
      <c r="B15" s="18" t="n">
        <f aca="false">B14+0.25</f>
        <v>2.5</v>
      </c>
      <c r="C15" s="4" t="n">
        <f aca="false">$S$36</f>
        <v>0.0850000000000001</v>
      </c>
      <c r="D15" s="4" t="n">
        <v>0.0207835901322242</v>
      </c>
      <c r="E15" s="4" t="n">
        <v>0.131694500130812</v>
      </c>
      <c r="F15" s="4" t="n">
        <v>0.0849999999999999</v>
      </c>
      <c r="H15" s="1" t="n">
        <v>11</v>
      </c>
      <c r="I15" s="1" t="n">
        <v>2125000</v>
      </c>
      <c r="J15" s="1" t="n">
        <v>2125000</v>
      </c>
      <c r="K15" s="1" t="n">
        <v>8513399.65569024</v>
      </c>
      <c r="L15" s="1" t="n">
        <v>8698709.29963472</v>
      </c>
      <c r="M15" s="1" t="n">
        <v>8274907.77418494</v>
      </c>
      <c r="N15" s="1" t="n">
        <v>3705364.13983756</v>
      </c>
      <c r="O15" s="1" t="n">
        <v>0</v>
      </c>
      <c r="P15" s="1" t="n">
        <v>0</v>
      </c>
      <c r="Q15" s="1" t="n">
        <v>0</v>
      </c>
      <c r="R15" s="1" t="n">
        <v>0</v>
      </c>
      <c r="S15" s="1" t="n">
        <v>0</v>
      </c>
      <c r="T15" s="1" t="n">
        <v>0</v>
      </c>
      <c r="U15" s="1" t="n">
        <v>0</v>
      </c>
      <c r="V15" s="1" t="n">
        <v>0</v>
      </c>
      <c r="W15" s="1" t="n">
        <v>0</v>
      </c>
      <c r="X15" s="1" t="n">
        <v>0</v>
      </c>
      <c r="Y15" s="1" t="n">
        <v>0</v>
      </c>
      <c r="Z15" s="1" t="n">
        <v>0</v>
      </c>
      <c r="AA15" s="1" t="n">
        <v>0</v>
      </c>
      <c r="AB15" s="1" t="n">
        <v>0</v>
      </c>
      <c r="AC15" s="1" t="n">
        <v>0</v>
      </c>
    </row>
    <row r="16" customFormat="false" ht="12.75" hidden="false" customHeight="false" outlineLevel="0" collapsed="false">
      <c r="A16" s="1" t="n">
        <v>12</v>
      </c>
      <c r="B16" s="18" t="n">
        <f aca="false">B15+0.25</f>
        <v>2.75</v>
      </c>
      <c r="C16" s="4" t="n">
        <f aca="false">$T$36</f>
        <v>0.085</v>
      </c>
      <c r="D16" s="4" t="n">
        <v>0.0176666607064626</v>
      </c>
      <c r="E16" s="4" t="n">
        <v>0.133978679016273</v>
      </c>
      <c r="F16" s="4" t="n">
        <v>0.0849999999999999</v>
      </c>
      <c r="H16" s="1" t="n">
        <v>12</v>
      </c>
      <c r="I16" s="1" t="n">
        <v>2125000</v>
      </c>
      <c r="J16" s="1" t="n">
        <v>5243311.7246018</v>
      </c>
      <c r="K16" s="1" t="n">
        <v>8662503.68707266</v>
      </c>
      <c r="L16" s="1" t="n">
        <v>8188572.39509885</v>
      </c>
      <c r="M16" s="1" t="n">
        <v>2658709.16880608</v>
      </c>
      <c r="N16" s="1" t="n">
        <v>0</v>
      </c>
      <c r="O16" s="1" t="n">
        <v>0</v>
      </c>
      <c r="P16" s="1" t="n">
        <v>0</v>
      </c>
      <c r="Q16" s="1" t="n">
        <v>0</v>
      </c>
      <c r="R16" s="1" t="n">
        <v>0</v>
      </c>
      <c r="S16" s="1" t="n">
        <v>0</v>
      </c>
      <c r="T16" s="1" t="n">
        <v>0</v>
      </c>
      <c r="U16" s="1" t="n">
        <v>0</v>
      </c>
      <c r="V16" s="1" t="n">
        <v>0</v>
      </c>
      <c r="W16" s="1" t="n">
        <v>0</v>
      </c>
      <c r="X16" s="1" t="n">
        <v>0</v>
      </c>
      <c r="Y16" s="1" t="n">
        <v>0</v>
      </c>
      <c r="Z16" s="1" t="n">
        <v>0</v>
      </c>
      <c r="AA16" s="1" t="n">
        <v>0</v>
      </c>
      <c r="AB16" s="1" t="n">
        <v>0</v>
      </c>
      <c r="AC16" s="1" t="n">
        <v>0</v>
      </c>
    </row>
    <row r="17" customFormat="false" ht="12.75" hidden="false" customHeight="false" outlineLevel="0" collapsed="false">
      <c r="A17" s="1" t="n">
        <v>13</v>
      </c>
      <c r="B17" s="18" t="n">
        <f aca="false">B16+0.25</f>
        <v>3</v>
      </c>
      <c r="C17" s="4" t="n">
        <f aca="false">$U$36</f>
        <v>0.0850000000000001</v>
      </c>
      <c r="D17" s="4" t="n">
        <v>0.0151181672242032</v>
      </c>
      <c r="E17" s="4" t="n">
        <v>0.135843566382558</v>
      </c>
      <c r="F17" s="4" t="n">
        <v>0.0850000000000001</v>
      </c>
      <c r="H17" s="1" t="n">
        <v>13</v>
      </c>
      <c r="I17" s="1" t="n">
        <v>2125000</v>
      </c>
      <c r="J17" s="1" t="n">
        <v>8819055.94129056</v>
      </c>
      <c r="K17" s="1" t="n">
        <v>8296625.8276455</v>
      </c>
      <c r="L17" s="1" t="n">
        <v>2857729.61584273</v>
      </c>
      <c r="M17" s="1" t="n">
        <v>0</v>
      </c>
      <c r="N17" s="1" t="n">
        <v>0</v>
      </c>
      <c r="O17" s="1" t="n">
        <v>0</v>
      </c>
      <c r="P17" s="1" t="n">
        <v>0</v>
      </c>
      <c r="Q17" s="1" t="n">
        <v>0</v>
      </c>
      <c r="R17" s="1" t="n">
        <v>0</v>
      </c>
      <c r="S17" s="1" t="n">
        <v>0</v>
      </c>
      <c r="T17" s="1" t="n">
        <v>0</v>
      </c>
      <c r="U17" s="1" t="n">
        <v>0</v>
      </c>
      <c r="V17" s="1" t="n">
        <v>0</v>
      </c>
      <c r="W17" s="1" t="n">
        <v>0</v>
      </c>
      <c r="X17" s="1" t="n">
        <v>0</v>
      </c>
      <c r="Y17" s="1" t="n">
        <v>0</v>
      </c>
      <c r="Z17" s="1" t="n">
        <v>0</v>
      </c>
      <c r="AA17" s="1" t="n">
        <v>0</v>
      </c>
      <c r="AB17" s="1" t="n">
        <v>0</v>
      </c>
      <c r="AC17" s="1" t="n">
        <v>0</v>
      </c>
    </row>
    <row r="18" customFormat="false" ht="12.75" hidden="false" customHeight="false" outlineLevel="0" collapsed="false">
      <c r="A18" s="1" t="n">
        <v>14</v>
      </c>
      <c r="B18" s="18" t="n">
        <f aca="false">B17+0.25</f>
        <v>3.25</v>
      </c>
      <c r="C18" s="4" t="n">
        <f aca="false">$V$36</f>
        <v>0.085</v>
      </c>
      <c r="D18" s="4" t="n">
        <v>0.0128938952857231</v>
      </c>
      <c r="E18" s="4" t="n">
        <v>0.137469043430298</v>
      </c>
      <c r="F18" s="4" t="n">
        <v>0.085</v>
      </c>
      <c r="H18" s="1" t="n">
        <v>14</v>
      </c>
      <c r="I18" s="1" t="n">
        <v>6408997.94327973</v>
      </c>
      <c r="J18" s="1" t="n">
        <v>8597185.95634212</v>
      </c>
      <c r="K18" s="1" t="n">
        <v>4572839.79262363</v>
      </c>
      <c r="L18" s="1" t="n">
        <v>0</v>
      </c>
      <c r="M18" s="1" t="n">
        <v>0</v>
      </c>
      <c r="N18" s="1" t="n">
        <v>0</v>
      </c>
      <c r="O18" s="1" t="n">
        <v>0</v>
      </c>
      <c r="P18" s="1" t="n">
        <v>0</v>
      </c>
      <c r="Q18" s="1" t="n">
        <v>0</v>
      </c>
      <c r="R18" s="1" t="n">
        <v>0</v>
      </c>
      <c r="S18" s="1" t="n">
        <v>0</v>
      </c>
      <c r="T18" s="1" t="n">
        <v>0</v>
      </c>
      <c r="U18" s="1" t="n">
        <v>0</v>
      </c>
      <c r="V18" s="1" t="n">
        <v>0</v>
      </c>
      <c r="W18" s="1" t="n">
        <v>0</v>
      </c>
      <c r="X18" s="1" t="n">
        <v>0</v>
      </c>
      <c r="Y18" s="1" t="n">
        <v>0</v>
      </c>
      <c r="Z18" s="1" t="n">
        <v>0</v>
      </c>
      <c r="AA18" s="1" t="n">
        <v>0</v>
      </c>
      <c r="AB18" s="1" t="n">
        <v>0</v>
      </c>
      <c r="AC18" s="1" t="n">
        <v>0</v>
      </c>
    </row>
    <row r="19" customFormat="false" ht="12.75" hidden="false" customHeight="false" outlineLevel="0" collapsed="false">
      <c r="A19" s="1" t="n">
        <v>15</v>
      </c>
      <c r="B19" s="18" t="n">
        <f aca="false">B18+0.25</f>
        <v>3.5</v>
      </c>
      <c r="C19" s="4" t="n">
        <f aca="false">$W$36</f>
        <v>0.0850000000000001</v>
      </c>
      <c r="D19" s="4" t="n">
        <v>0.0106345169105077</v>
      </c>
      <c r="E19" s="4" t="n">
        <v>0.139081529008955</v>
      </c>
      <c r="F19" s="4" t="n">
        <v>0.0850000000000001</v>
      </c>
      <c r="H19" s="1" t="n">
        <v>15</v>
      </c>
      <c r="I19" s="1" t="n">
        <v>9102459.68891328</v>
      </c>
      <c r="J19" s="1" t="n">
        <v>8239282.57768915</v>
      </c>
      <c r="K19" s="1" t="n">
        <v>0</v>
      </c>
      <c r="L19" s="1" t="n">
        <v>0</v>
      </c>
      <c r="M19" s="1" t="n">
        <v>0</v>
      </c>
      <c r="N19" s="1" t="n">
        <v>0</v>
      </c>
      <c r="O19" s="1" t="n">
        <v>0</v>
      </c>
      <c r="P19" s="1" t="n">
        <v>0</v>
      </c>
      <c r="Q19" s="1" t="n">
        <v>0</v>
      </c>
      <c r="R19" s="1" t="n">
        <v>0</v>
      </c>
      <c r="S19" s="1" t="n">
        <v>0</v>
      </c>
      <c r="T19" s="1" t="n">
        <v>0</v>
      </c>
      <c r="U19" s="1" t="n">
        <v>0</v>
      </c>
      <c r="V19" s="1" t="n">
        <v>0</v>
      </c>
      <c r="W19" s="1" t="n">
        <v>0</v>
      </c>
      <c r="X19" s="1" t="n">
        <v>0</v>
      </c>
      <c r="Y19" s="1" t="n">
        <v>0</v>
      </c>
      <c r="Z19" s="1" t="n">
        <v>0</v>
      </c>
      <c r="AA19" s="1" t="n">
        <v>0</v>
      </c>
      <c r="AB19" s="1" t="n">
        <v>0</v>
      </c>
      <c r="AC19" s="1" t="n">
        <v>0</v>
      </c>
    </row>
    <row r="20" customFormat="false" ht="12.75" hidden="false" customHeight="false" outlineLevel="0" collapsed="false">
      <c r="A20" s="1" t="n">
        <v>16</v>
      </c>
      <c r="B20" s="18" t="n">
        <f aca="false">B19+0.25</f>
        <v>3.75</v>
      </c>
      <c r="C20" s="4" t="n">
        <f aca="false">$X$36</f>
        <v>0.085</v>
      </c>
      <c r="D20" s="4" t="n">
        <v>0.008146671453987</v>
      </c>
      <c r="E20" s="4" t="n">
        <v>0.140919367872531</v>
      </c>
      <c r="F20" s="4" t="n">
        <v>0.085</v>
      </c>
      <c r="H20" s="1" t="n">
        <v>16</v>
      </c>
      <c r="I20" s="1" t="n">
        <v>9040770.20404461</v>
      </c>
      <c r="J20" s="1" t="n">
        <v>0</v>
      </c>
      <c r="K20" s="1" t="n">
        <v>0</v>
      </c>
      <c r="L20" s="1" t="n">
        <v>0</v>
      </c>
      <c r="M20" s="1" t="n">
        <v>0</v>
      </c>
      <c r="N20" s="1" t="n">
        <v>0</v>
      </c>
      <c r="O20" s="1" t="n">
        <v>0</v>
      </c>
      <c r="P20" s="1" t="n">
        <v>0</v>
      </c>
      <c r="Q20" s="1" t="n">
        <v>0</v>
      </c>
      <c r="R20" s="1" t="n">
        <v>0</v>
      </c>
      <c r="S20" s="1" t="n">
        <v>0</v>
      </c>
      <c r="T20" s="1" t="n">
        <v>0</v>
      </c>
      <c r="U20" s="1" t="n">
        <v>0</v>
      </c>
      <c r="V20" s="1" t="n">
        <v>0</v>
      </c>
      <c r="W20" s="1" t="n">
        <v>0</v>
      </c>
      <c r="X20" s="1" t="n">
        <v>0</v>
      </c>
      <c r="Y20" s="1" t="n">
        <v>0</v>
      </c>
      <c r="Z20" s="1" t="n">
        <v>0</v>
      </c>
      <c r="AA20" s="1" t="n">
        <v>0</v>
      </c>
      <c r="AB20" s="1" t="n">
        <v>0</v>
      </c>
      <c r="AC20" s="1" t="n">
        <v>0</v>
      </c>
    </row>
    <row r="21" customFormat="false" ht="12.75" hidden="false" customHeight="false" outlineLevel="0" collapsed="false">
      <c r="A21" s="1" t="n">
        <v>17</v>
      </c>
      <c r="B21" s="18" t="n">
        <f aca="false">B20+0.25</f>
        <v>4</v>
      </c>
      <c r="C21" s="4" t="n">
        <f aca="false">$Y$36</f>
        <v>0.0849999999999999</v>
      </c>
      <c r="D21" s="4" t="n">
        <v>0.00579120290682866</v>
      </c>
      <c r="E21" s="4" t="n">
        <v>0.142734419572897</v>
      </c>
      <c r="F21" s="4" t="n">
        <v>0.0849999999999999</v>
      </c>
      <c r="H21" s="1" t="n">
        <v>17</v>
      </c>
      <c r="I21" s="1" t="n">
        <v>5935445.3618571</v>
      </c>
      <c r="J21" s="1" t="n">
        <v>0</v>
      </c>
      <c r="K21" s="1" t="n">
        <v>0</v>
      </c>
      <c r="L21" s="1" t="n">
        <v>0</v>
      </c>
      <c r="M21" s="1" t="n">
        <v>0</v>
      </c>
      <c r="N21" s="1" t="n">
        <v>0</v>
      </c>
      <c r="O21" s="1" t="n">
        <v>0</v>
      </c>
      <c r="P21" s="1" t="n">
        <v>0</v>
      </c>
      <c r="Q21" s="1" t="n">
        <v>0</v>
      </c>
      <c r="R21" s="1" t="n">
        <v>0</v>
      </c>
      <c r="S21" s="1" t="n">
        <v>0</v>
      </c>
      <c r="T21" s="1" t="n">
        <v>0</v>
      </c>
      <c r="U21" s="1" t="n">
        <v>0</v>
      </c>
      <c r="V21" s="1" t="n">
        <v>0</v>
      </c>
      <c r="W21" s="1" t="n">
        <v>0</v>
      </c>
      <c r="X21" s="1" t="n">
        <v>0</v>
      </c>
      <c r="Y21" s="1" t="n">
        <v>0</v>
      </c>
      <c r="Z21" s="1" t="n">
        <v>0</v>
      </c>
      <c r="AA21" s="1" t="n">
        <v>0</v>
      </c>
      <c r="AB21" s="1" t="n">
        <v>0</v>
      </c>
      <c r="AC21" s="1" t="n">
        <v>0</v>
      </c>
    </row>
    <row r="22" customFormat="false" ht="12.75" hidden="false" customHeight="false" outlineLevel="0" collapsed="false">
      <c r="A22" s="1" t="n">
        <v>18</v>
      </c>
      <c r="B22" s="18" t="n">
        <f aca="false">B21+0.25</f>
        <v>4.25</v>
      </c>
      <c r="C22" s="4" t="n">
        <f aca="false">$Z$36</f>
        <v>0.0849999999999999</v>
      </c>
      <c r="D22" s="4" t="n">
        <v>0.00337069917810553</v>
      </c>
      <c r="E22" s="4" t="n">
        <v>0.144568576138178</v>
      </c>
      <c r="F22" s="4" t="n">
        <v>0.0850000000000001</v>
      </c>
      <c r="H22" s="1" t="n">
        <v>18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N22" s="1" t="n">
        <v>0</v>
      </c>
      <c r="O22" s="1" t="n">
        <v>0</v>
      </c>
      <c r="P22" s="1" t="n">
        <v>0</v>
      </c>
      <c r="Q22" s="1" t="n">
        <v>0</v>
      </c>
      <c r="R22" s="1" t="n">
        <v>0</v>
      </c>
      <c r="S22" s="1" t="n">
        <v>0</v>
      </c>
      <c r="T22" s="1" t="n">
        <v>0</v>
      </c>
      <c r="U22" s="1" t="n">
        <v>0</v>
      </c>
      <c r="V22" s="1" t="n">
        <v>0</v>
      </c>
      <c r="W22" s="1" t="n">
        <v>0</v>
      </c>
      <c r="X22" s="1" t="n">
        <v>0</v>
      </c>
      <c r="Y22" s="1" t="n">
        <v>0</v>
      </c>
      <c r="Z22" s="1" t="n">
        <v>0</v>
      </c>
      <c r="AA22" s="1" t="n">
        <v>0</v>
      </c>
      <c r="AB22" s="1" t="n">
        <v>0</v>
      </c>
      <c r="AC22" s="1" t="n">
        <v>0</v>
      </c>
    </row>
    <row r="23" customFormat="false" ht="12.75" hidden="false" customHeight="false" outlineLevel="0" collapsed="false">
      <c r="A23" s="1" t="n">
        <v>19</v>
      </c>
      <c r="B23" s="18" t="n">
        <f aca="false">B22+0.25</f>
        <v>4.5</v>
      </c>
      <c r="C23" s="4" t="n">
        <f aca="false">$AA$36</f>
        <v>0.0849999999999999</v>
      </c>
      <c r="D23" s="4" t="n">
        <v>0.000883604039773507</v>
      </c>
      <c r="E23" s="4" t="n">
        <v>0.146417777644116</v>
      </c>
      <c r="F23" s="4" t="n">
        <v>0.0849999999999999</v>
      </c>
      <c r="H23" s="1" t="n">
        <v>19</v>
      </c>
      <c r="I23" s="1" t="n">
        <v>0</v>
      </c>
      <c r="J23" s="1" t="n">
        <f aca="false">'Tranche Payments'!$D23</f>
        <v>0</v>
      </c>
      <c r="K23" s="1" t="n">
        <f aca="false">'Tranche Payments'!$D23</f>
        <v>0</v>
      </c>
      <c r="L23" s="1" t="n">
        <f aca="false">'Tranche Payments'!$D23</f>
        <v>0</v>
      </c>
      <c r="M23" s="1" t="n">
        <f aca="false">'Tranche Payments'!$D23</f>
        <v>0</v>
      </c>
      <c r="N23" s="1" t="n">
        <v>0</v>
      </c>
      <c r="O23" s="1" t="n">
        <v>0</v>
      </c>
      <c r="P23" s="1" t="n">
        <v>0</v>
      </c>
      <c r="Q23" s="1" t="n">
        <v>0</v>
      </c>
      <c r="R23" s="1" t="n">
        <v>0</v>
      </c>
      <c r="S23" s="1" t="n">
        <v>0</v>
      </c>
      <c r="T23" s="1" t="n">
        <v>0</v>
      </c>
      <c r="U23" s="1" t="n">
        <v>0</v>
      </c>
      <c r="V23" s="1" t="n">
        <v>0</v>
      </c>
      <c r="W23" s="1" t="n">
        <v>0</v>
      </c>
      <c r="X23" s="1" t="n">
        <v>0</v>
      </c>
      <c r="Y23" s="1" t="n">
        <v>0</v>
      </c>
      <c r="Z23" s="1" t="n">
        <v>0</v>
      </c>
      <c r="AA23" s="1" t="n">
        <v>0</v>
      </c>
      <c r="AB23" s="1" t="n">
        <v>0</v>
      </c>
      <c r="AC23" s="1" t="n">
        <v>0</v>
      </c>
    </row>
    <row r="24" customFormat="false" ht="12.75" hidden="false" customHeight="false" outlineLevel="0" collapsed="false">
      <c r="A24" s="1" t="n">
        <v>20</v>
      </c>
      <c r="B24" s="18" t="n">
        <f aca="false">B23+0.25</f>
        <v>4.75</v>
      </c>
      <c r="C24" s="4" t="n">
        <f aca="false">$AB$36</f>
        <v>0.0849999999999999</v>
      </c>
      <c r="D24" s="4" t="n">
        <v>-0.00167174219265578</v>
      </c>
      <c r="E24" s="4" t="n">
        <v>0.148277728161902</v>
      </c>
      <c r="F24" s="4" t="n">
        <v>0.0849999999999999</v>
      </c>
      <c r="H24" s="1" t="n">
        <v>20</v>
      </c>
      <c r="I24" s="1" t="n">
        <v>0</v>
      </c>
      <c r="J24" s="1" t="n">
        <f aca="false">'Tranche Payments'!$D24</f>
        <v>0</v>
      </c>
      <c r="K24" s="1" t="n">
        <f aca="false">'Tranche Payments'!$D24</f>
        <v>0</v>
      </c>
      <c r="L24" s="1" t="n">
        <f aca="false">'Tranche Payments'!$D24</f>
        <v>0</v>
      </c>
      <c r="M24" s="1" t="n">
        <f aca="false">'Tranche Payments'!$D24</f>
        <v>0</v>
      </c>
      <c r="N24" s="1" t="n">
        <v>0</v>
      </c>
      <c r="O24" s="1" t="n">
        <v>0</v>
      </c>
      <c r="P24" s="1" t="n">
        <v>0</v>
      </c>
      <c r="Q24" s="1" t="n">
        <v>0</v>
      </c>
      <c r="R24" s="1" t="n">
        <v>0</v>
      </c>
      <c r="S24" s="1" t="n">
        <v>0</v>
      </c>
      <c r="T24" s="1" t="n">
        <v>0</v>
      </c>
      <c r="U24" s="1" t="n">
        <v>0</v>
      </c>
      <c r="V24" s="1" t="n">
        <v>0</v>
      </c>
      <c r="W24" s="1" t="n">
        <v>0</v>
      </c>
      <c r="X24" s="1" t="n">
        <v>0</v>
      </c>
      <c r="Y24" s="1" t="n">
        <v>0</v>
      </c>
      <c r="Z24" s="1" t="n">
        <v>0</v>
      </c>
      <c r="AA24" s="1" t="n">
        <v>0</v>
      </c>
      <c r="AB24" s="1" t="n">
        <v>0</v>
      </c>
      <c r="AC24" s="1" t="n">
        <v>0</v>
      </c>
    </row>
    <row r="25" customFormat="false" ht="12.75" hidden="false" customHeight="false" outlineLevel="0" collapsed="false">
      <c r="A25" s="1" t="n">
        <v>21</v>
      </c>
      <c r="B25" s="18" t="n">
        <f aca="false">B24+0.25</f>
        <v>5</v>
      </c>
      <c r="C25" s="4" t="n">
        <f aca="false">$AC$36</f>
        <v>0.0849999999999999</v>
      </c>
      <c r="D25" s="4" t="n">
        <v>-0.00334989906851209</v>
      </c>
      <c r="E25" s="4" t="n">
        <v>0.149524147332204</v>
      </c>
      <c r="F25" s="4" t="n">
        <v>0.0849999999999999</v>
      </c>
      <c r="H25" s="1" t="n">
        <v>21</v>
      </c>
      <c r="I25" s="1" t="n">
        <v>0</v>
      </c>
      <c r="J25" s="1" t="n">
        <f aca="false">'Tranche Payments'!$D25</f>
        <v>0</v>
      </c>
      <c r="K25" s="1" t="n">
        <f aca="false">'Tranche Payments'!$D25</f>
        <v>0</v>
      </c>
      <c r="L25" s="1" t="n">
        <f aca="false">'Tranche Payments'!$D25</f>
        <v>0</v>
      </c>
      <c r="M25" s="1" t="n">
        <f aca="false">'Tranche Payments'!$D25</f>
        <v>0</v>
      </c>
      <c r="N25" s="1" t="n">
        <v>0</v>
      </c>
      <c r="O25" s="1" t="n">
        <v>0</v>
      </c>
      <c r="P25" s="1" t="n">
        <v>0</v>
      </c>
      <c r="Q25" s="1" t="n">
        <v>0</v>
      </c>
      <c r="R25" s="1" t="n">
        <v>0</v>
      </c>
      <c r="S25" s="1" t="n">
        <v>0</v>
      </c>
      <c r="T25" s="1" t="n">
        <v>0</v>
      </c>
      <c r="U25" s="1" t="n">
        <v>0</v>
      </c>
      <c r="V25" s="1" t="n">
        <v>0</v>
      </c>
      <c r="W25" s="1" t="n">
        <v>0</v>
      </c>
      <c r="X25" s="1" t="n">
        <v>0</v>
      </c>
      <c r="Y25" s="1" t="n">
        <v>0</v>
      </c>
      <c r="Z25" s="1" t="n">
        <v>0</v>
      </c>
      <c r="AA25" s="1" t="n">
        <v>0</v>
      </c>
      <c r="AB25" s="1" t="n">
        <v>0</v>
      </c>
      <c r="AC25" s="1" t="n">
        <v>0</v>
      </c>
    </row>
    <row r="26" customFormat="false" ht="12.75" hidden="false" customHeight="false" outlineLevel="0" collapsed="false">
      <c r="H26" s="1" t="n">
        <v>22</v>
      </c>
      <c r="I26" s="1" t="n">
        <v>0</v>
      </c>
      <c r="J26" s="1" t="n">
        <f aca="false">'Tranche Payments'!$D26</f>
        <v>0</v>
      </c>
      <c r="K26" s="1" t="n">
        <f aca="false">'Tranche Payments'!$D26</f>
        <v>0</v>
      </c>
      <c r="L26" s="1" t="n">
        <f aca="false">'Tranche Payments'!$D26</f>
        <v>0</v>
      </c>
      <c r="M26" s="1" t="n">
        <f aca="false">'Tranche Payments'!$D26</f>
        <v>0</v>
      </c>
      <c r="N26" s="1" t="n">
        <v>0</v>
      </c>
      <c r="O26" s="1" t="n">
        <v>0</v>
      </c>
      <c r="P26" s="1" t="n">
        <v>0</v>
      </c>
      <c r="Q26" s="1" t="n">
        <v>0</v>
      </c>
      <c r="R26" s="1" t="n">
        <v>0</v>
      </c>
      <c r="S26" s="1" t="n">
        <v>0</v>
      </c>
      <c r="T26" s="1" t="n">
        <v>0</v>
      </c>
      <c r="U26" s="1" t="n">
        <v>0</v>
      </c>
      <c r="V26" s="1" t="n">
        <v>0</v>
      </c>
      <c r="W26" s="1" t="n">
        <v>0</v>
      </c>
      <c r="X26" s="1" t="n">
        <v>0</v>
      </c>
      <c r="Y26" s="1" t="n">
        <v>0</v>
      </c>
      <c r="Z26" s="1" t="n">
        <v>0</v>
      </c>
      <c r="AA26" s="1" t="n">
        <v>0</v>
      </c>
      <c r="AB26" s="1" t="n">
        <v>0</v>
      </c>
      <c r="AC26" s="1" t="n">
        <v>0</v>
      </c>
    </row>
    <row r="27" customFormat="false" ht="12.75" hidden="false" customHeight="false" outlineLevel="0" collapsed="false">
      <c r="H27" s="1" t="n">
        <v>23</v>
      </c>
      <c r="I27" s="1" t="n">
        <v>0</v>
      </c>
      <c r="J27" s="1" t="n">
        <f aca="false">'Tranche Payments'!$D27</f>
        <v>0</v>
      </c>
      <c r="K27" s="1" t="n">
        <f aca="false">'Tranche Payments'!$D27</f>
        <v>0</v>
      </c>
      <c r="L27" s="1" t="n">
        <f aca="false">'Tranche Payments'!$D27</f>
        <v>0</v>
      </c>
      <c r="M27" s="1" t="n">
        <f aca="false">'Tranche Payments'!$D27</f>
        <v>0</v>
      </c>
      <c r="N27" s="1" t="n">
        <v>0</v>
      </c>
      <c r="O27" s="1" t="n">
        <v>0</v>
      </c>
      <c r="P27" s="1" t="n">
        <v>0</v>
      </c>
      <c r="Q27" s="1" t="n">
        <v>0</v>
      </c>
      <c r="R27" s="1" t="n">
        <v>0</v>
      </c>
      <c r="S27" s="1" t="n">
        <v>0</v>
      </c>
      <c r="T27" s="1" t="n">
        <v>0</v>
      </c>
      <c r="U27" s="1" t="n">
        <v>0</v>
      </c>
      <c r="V27" s="1" t="n">
        <v>0</v>
      </c>
      <c r="W27" s="1" t="n">
        <v>0</v>
      </c>
      <c r="X27" s="1" t="n">
        <v>0</v>
      </c>
      <c r="Y27" s="1" t="n">
        <v>0</v>
      </c>
      <c r="Z27" s="1" t="n">
        <v>0</v>
      </c>
      <c r="AA27" s="1" t="n">
        <v>0</v>
      </c>
      <c r="AB27" s="1" t="n">
        <v>0</v>
      </c>
      <c r="AC27" s="1" t="n">
        <v>0</v>
      </c>
    </row>
    <row r="28" customFormat="false" ht="12.75" hidden="false" customHeight="false" outlineLevel="0" collapsed="false">
      <c r="H28" s="1" t="n">
        <v>24</v>
      </c>
      <c r="I28" s="1" t="n">
        <v>0</v>
      </c>
      <c r="J28" s="1" t="n">
        <f aca="false">'Tranche Payments'!$D28</f>
        <v>0</v>
      </c>
      <c r="K28" s="1" t="n">
        <f aca="false">'Tranche Payments'!$D28</f>
        <v>0</v>
      </c>
      <c r="L28" s="1" t="n">
        <f aca="false">'Tranche Payments'!$D28</f>
        <v>0</v>
      </c>
      <c r="M28" s="1" t="n">
        <f aca="false">'Tranche Payments'!$D28</f>
        <v>0</v>
      </c>
      <c r="N28" s="1" t="n">
        <v>0</v>
      </c>
      <c r="O28" s="1" t="n">
        <v>0</v>
      </c>
      <c r="P28" s="1" t="n">
        <v>0</v>
      </c>
      <c r="Q28" s="1" t="n">
        <v>0</v>
      </c>
      <c r="R28" s="1" t="n">
        <v>0</v>
      </c>
      <c r="S28" s="1" t="n">
        <v>0</v>
      </c>
      <c r="T28" s="1" t="n">
        <v>0</v>
      </c>
      <c r="U28" s="1" t="n">
        <v>0</v>
      </c>
      <c r="V28" s="1" t="n">
        <v>0</v>
      </c>
      <c r="W28" s="1" t="n">
        <v>0</v>
      </c>
      <c r="X28" s="1" t="n">
        <v>0</v>
      </c>
      <c r="Y28" s="1" t="n">
        <v>0</v>
      </c>
      <c r="Z28" s="1" t="n">
        <v>0</v>
      </c>
      <c r="AA28" s="1" t="n">
        <v>0</v>
      </c>
      <c r="AB28" s="1" t="n">
        <v>0</v>
      </c>
      <c r="AC28" s="1" t="n">
        <v>0</v>
      </c>
    </row>
    <row r="29" customFormat="false" ht="12.75" hidden="false" customHeight="false" outlineLevel="0" collapsed="false">
      <c r="H29" s="1" t="n">
        <v>25</v>
      </c>
      <c r="I29" s="1" t="n">
        <v>0</v>
      </c>
      <c r="J29" s="1" t="n">
        <f aca="false">'Tranche Payments'!$D29</f>
        <v>0</v>
      </c>
      <c r="K29" s="1" t="n">
        <f aca="false">'Tranche Payments'!$D29</f>
        <v>0</v>
      </c>
      <c r="L29" s="1" t="n">
        <f aca="false">'Tranche Payments'!$D29</f>
        <v>0</v>
      </c>
      <c r="M29" s="1" t="n">
        <f aca="false">'Tranche Payments'!$D29</f>
        <v>0</v>
      </c>
      <c r="N29" s="1" t="n">
        <v>0</v>
      </c>
      <c r="O29" s="1" t="n">
        <v>0</v>
      </c>
      <c r="P29" s="1" t="n">
        <v>0</v>
      </c>
      <c r="Q29" s="1" t="n">
        <v>0</v>
      </c>
      <c r="R29" s="1" t="n">
        <v>0</v>
      </c>
      <c r="S29" s="1" t="n">
        <v>0</v>
      </c>
      <c r="T29" s="1" t="n">
        <v>0</v>
      </c>
      <c r="U29" s="1" t="n">
        <v>0</v>
      </c>
      <c r="V29" s="1" t="n">
        <v>0</v>
      </c>
      <c r="W29" s="1" t="n">
        <v>0</v>
      </c>
      <c r="X29" s="1" t="n">
        <v>0</v>
      </c>
      <c r="Y29" s="1" t="n">
        <v>0</v>
      </c>
      <c r="Z29" s="1" t="n">
        <v>0</v>
      </c>
      <c r="AA29" s="1" t="n">
        <v>0</v>
      </c>
      <c r="AB29" s="1" t="n">
        <v>0</v>
      </c>
      <c r="AC29" s="1" t="n">
        <v>0</v>
      </c>
    </row>
    <row r="30" customFormat="false" ht="12.75" hidden="false" customHeight="false" outlineLevel="0" collapsed="false">
      <c r="H30" s="1" t="n">
        <v>26</v>
      </c>
      <c r="I30" s="1" t="n">
        <v>0</v>
      </c>
      <c r="J30" s="1" t="n">
        <f aca="false">'Tranche Payments'!$D30</f>
        <v>0</v>
      </c>
      <c r="K30" s="1" t="n">
        <f aca="false">'Tranche Payments'!$D30</f>
        <v>0</v>
      </c>
      <c r="L30" s="1" t="n">
        <f aca="false">'Tranche Payments'!$D30</f>
        <v>0</v>
      </c>
      <c r="M30" s="1" t="n">
        <f aca="false">'Tranche Payments'!$D30</f>
        <v>0</v>
      </c>
      <c r="N30" s="1" t="n">
        <v>0</v>
      </c>
      <c r="O30" s="1" t="n">
        <v>0</v>
      </c>
      <c r="P30" s="1" t="n">
        <v>0</v>
      </c>
      <c r="Q30" s="1" t="n">
        <v>0</v>
      </c>
      <c r="R30" s="1" t="n">
        <v>0</v>
      </c>
      <c r="S30" s="1" t="n">
        <v>0</v>
      </c>
      <c r="T30" s="1" t="n">
        <v>0</v>
      </c>
      <c r="U30" s="1" t="n">
        <v>0</v>
      </c>
      <c r="V30" s="1" t="n">
        <v>0</v>
      </c>
      <c r="W30" s="1" t="n">
        <v>0</v>
      </c>
      <c r="X30" s="1" t="n">
        <v>0</v>
      </c>
      <c r="Y30" s="1" t="n">
        <v>0</v>
      </c>
      <c r="Z30" s="1" t="n">
        <v>0</v>
      </c>
      <c r="AA30" s="1" t="n">
        <v>0</v>
      </c>
      <c r="AB30" s="1" t="n">
        <v>0</v>
      </c>
      <c r="AC30" s="1" t="n">
        <v>0</v>
      </c>
    </row>
    <row r="31" customFormat="false" ht="12.75" hidden="false" customHeight="false" outlineLevel="0" collapsed="false">
      <c r="H31" s="1" t="n">
        <v>27</v>
      </c>
      <c r="I31" s="1" t="n">
        <v>0</v>
      </c>
      <c r="J31" s="1" t="n">
        <f aca="false">'Tranche Payments'!$D31</f>
        <v>0</v>
      </c>
      <c r="K31" s="1" t="n">
        <f aca="false">'Tranche Payments'!$D31</f>
        <v>0</v>
      </c>
      <c r="L31" s="1" t="n">
        <f aca="false">'Tranche Payments'!$D31</f>
        <v>0</v>
      </c>
      <c r="M31" s="1" t="n">
        <f aca="false">'Tranche Payments'!$D31</f>
        <v>0</v>
      </c>
      <c r="N31" s="1" t="n">
        <v>0</v>
      </c>
      <c r="O31" s="1" t="n">
        <v>0</v>
      </c>
      <c r="P31" s="1" t="n">
        <v>0</v>
      </c>
      <c r="Q31" s="1" t="n">
        <v>0</v>
      </c>
      <c r="R31" s="1" t="n">
        <v>0</v>
      </c>
      <c r="S31" s="1" t="n">
        <v>0</v>
      </c>
      <c r="T31" s="1" t="n">
        <v>0</v>
      </c>
      <c r="U31" s="1" t="n">
        <v>0</v>
      </c>
      <c r="V31" s="1" t="n">
        <v>0</v>
      </c>
      <c r="W31" s="1" t="n">
        <v>0</v>
      </c>
      <c r="X31" s="1" t="n">
        <v>0</v>
      </c>
      <c r="Y31" s="1" t="n">
        <v>0</v>
      </c>
      <c r="Z31" s="1" t="n">
        <v>0</v>
      </c>
      <c r="AA31" s="1" t="n">
        <v>0</v>
      </c>
      <c r="AB31" s="1" t="n">
        <v>0</v>
      </c>
      <c r="AC31" s="1" t="n">
        <v>0</v>
      </c>
    </row>
    <row r="32" customFormat="false" ht="12.75" hidden="false" customHeight="false" outlineLevel="0" collapsed="false">
      <c r="H32" s="1" t="n">
        <v>28</v>
      </c>
      <c r="I32" s="1" t="n">
        <v>0</v>
      </c>
      <c r="J32" s="1" t="n">
        <f aca="false">'Tranche Payments'!$D32</f>
        <v>0</v>
      </c>
      <c r="K32" s="1" t="n">
        <f aca="false">'Tranche Payments'!$D32</f>
        <v>0</v>
      </c>
      <c r="L32" s="1" t="n">
        <f aca="false">'Tranche Payments'!$D32</f>
        <v>0</v>
      </c>
      <c r="M32" s="1" t="n">
        <f aca="false">'Tranche Payments'!$D32</f>
        <v>0</v>
      </c>
      <c r="N32" s="1" t="n">
        <v>0</v>
      </c>
      <c r="O32" s="1" t="n">
        <v>0</v>
      </c>
      <c r="P32" s="1" t="n">
        <v>0</v>
      </c>
      <c r="Q32" s="1" t="n">
        <v>0</v>
      </c>
      <c r="R32" s="1" t="n">
        <v>0</v>
      </c>
      <c r="S32" s="1" t="n">
        <v>0</v>
      </c>
      <c r="T32" s="1" t="n">
        <v>0</v>
      </c>
      <c r="U32" s="1" t="n">
        <v>0</v>
      </c>
      <c r="V32" s="1" t="n">
        <v>0</v>
      </c>
      <c r="W32" s="1" t="n">
        <v>0</v>
      </c>
      <c r="X32" s="1" t="n">
        <v>0</v>
      </c>
      <c r="Y32" s="1" t="n">
        <v>0</v>
      </c>
      <c r="Z32" s="1" t="n">
        <v>0</v>
      </c>
      <c r="AA32" s="1" t="n">
        <v>0</v>
      </c>
      <c r="AB32" s="1" t="n">
        <v>0</v>
      </c>
      <c r="AC32" s="1" t="n">
        <v>0</v>
      </c>
    </row>
    <row r="33" customFormat="false" ht="12.75" hidden="false" customHeight="false" outlineLevel="0" collapsed="false">
      <c r="H33" s="1" t="n">
        <v>29</v>
      </c>
      <c r="I33" s="1" t="n">
        <v>0</v>
      </c>
      <c r="J33" s="1" t="n">
        <f aca="false">'Tranche Payments'!$D33</f>
        <v>0</v>
      </c>
      <c r="K33" s="1" t="n">
        <f aca="false">'Tranche Payments'!$D33</f>
        <v>0</v>
      </c>
      <c r="L33" s="1" t="n">
        <f aca="false">'Tranche Payments'!$D33</f>
        <v>0</v>
      </c>
      <c r="M33" s="1" t="n">
        <f aca="false">'Tranche Payments'!$D33</f>
        <v>0</v>
      </c>
      <c r="N33" s="1" t="n">
        <v>0</v>
      </c>
      <c r="O33" s="1" t="n">
        <v>0</v>
      </c>
      <c r="P33" s="1" t="n">
        <v>0</v>
      </c>
      <c r="Q33" s="1" t="n">
        <v>0</v>
      </c>
      <c r="R33" s="1" t="n">
        <v>0</v>
      </c>
      <c r="S33" s="1" t="n">
        <v>0</v>
      </c>
      <c r="T33" s="1" t="n">
        <v>0</v>
      </c>
      <c r="U33" s="1" t="n">
        <v>0</v>
      </c>
      <c r="V33" s="1" t="n">
        <v>0</v>
      </c>
      <c r="W33" s="1" t="n">
        <v>0</v>
      </c>
      <c r="X33" s="1" t="n">
        <v>0</v>
      </c>
      <c r="Y33" s="1" t="n">
        <v>0</v>
      </c>
      <c r="Z33" s="1" t="n">
        <v>0</v>
      </c>
      <c r="AA33" s="1" t="n">
        <v>0</v>
      </c>
      <c r="AB33" s="1" t="n">
        <v>0</v>
      </c>
      <c r="AC33" s="1" t="n">
        <v>0</v>
      </c>
    </row>
    <row r="34" customFormat="false" ht="12.75" hidden="false" customHeight="false" outlineLevel="0" collapsed="false">
      <c r="H34" s="1" t="n">
        <v>30</v>
      </c>
      <c r="I34" s="1" t="n">
        <v>0</v>
      </c>
      <c r="J34" s="1" t="n">
        <f aca="false">'Tranche Payments'!$D34</f>
        <v>0</v>
      </c>
      <c r="K34" s="1" t="n">
        <f aca="false">'Tranche Payments'!$D34</f>
        <v>0</v>
      </c>
      <c r="L34" s="1" t="n">
        <f aca="false">'Tranche Payments'!$D34</f>
        <v>0</v>
      </c>
      <c r="M34" s="1" t="n">
        <f aca="false">'Tranche Payments'!$D34</f>
        <v>0</v>
      </c>
      <c r="N34" s="1" t="n">
        <v>0</v>
      </c>
      <c r="O34" s="1" t="n">
        <v>0</v>
      </c>
      <c r="P34" s="1" t="n">
        <v>0</v>
      </c>
      <c r="Q34" s="1" t="n">
        <v>0</v>
      </c>
      <c r="R34" s="1" t="n">
        <v>0</v>
      </c>
      <c r="S34" s="1" t="n">
        <v>0</v>
      </c>
      <c r="T34" s="1" t="n">
        <v>0</v>
      </c>
      <c r="U34" s="1" t="n">
        <v>0</v>
      </c>
      <c r="V34" s="1" t="n">
        <v>0</v>
      </c>
      <c r="W34" s="1" t="n">
        <v>0</v>
      </c>
      <c r="X34" s="1" t="n">
        <v>0</v>
      </c>
      <c r="Y34" s="1" t="n">
        <v>0</v>
      </c>
      <c r="Z34" s="1" t="n">
        <v>0</v>
      </c>
      <c r="AA34" s="1" t="n">
        <v>0</v>
      </c>
      <c r="AB34" s="1" t="n">
        <v>0</v>
      </c>
      <c r="AC34" s="1" t="n">
        <v>0</v>
      </c>
    </row>
    <row r="36" customFormat="false" ht="12.75" hidden="false" customHeight="false" outlineLevel="0" collapsed="false">
      <c r="H36" s="5" t="s">
        <v>82</v>
      </c>
      <c r="I36" s="22" t="n">
        <f aca="false">IRR(I4:I34,0.1)</f>
        <v>0.0849999999999999</v>
      </c>
      <c r="J36" s="22" t="n">
        <f aca="false">IRR(J4:J34,0.1)</f>
        <v>0.0850000000000001</v>
      </c>
      <c r="K36" s="22" t="n">
        <f aca="false">IRR(K4:K34,0.1)</f>
        <v>0.0850000000000001</v>
      </c>
      <c r="L36" s="22" t="n">
        <f aca="false">IRR(L4:L34,0.1)</f>
        <v>0.085</v>
      </c>
      <c r="M36" s="22" t="n">
        <f aca="false">IRR(M4:M34,0.1)</f>
        <v>0.085</v>
      </c>
      <c r="N36" s="22" t="n">
        <f aca="false">IRR(N4:N34,0.1)</f>
        <v>0.0850000000000001</v>
      </c>
      <c r="O36" s="22" t="n">
        <f aca="false">IRR(O4:O34,0.1)</f>
        <v>0.085</v>
      </c>
      <c r="P36" s="22" t="n">
        <f aca="false">IRR(P4:P34,0.1)</f>
        <v>0.085</v>
      </c>
      <c r="Q36" s="22" t="n">
        <f aca="false">IRR(Q4:Q34,0.1)</f>
        <v>0.0849999999999999</v>
      </c>
      <c r="R36" s="22" t="n">
        <f aca="false">IRR(R4:R34,0.1)</f>
        <v>0.0850000000000001</v>
      </c>
      <c r="S36" s="22" t="n">
        <f aca="false">IRR(S4:S34,0.1)</f>
        <v>0.0850000000000001</v>
      </c>
      <c r="T36" s="22" t="n">
        <f aca="false">IRR(T4:T34,0.1)</f>
        <v>0.085</v>
      </c>
      <c r="U36" s="22" t="n">
        <f aca="false">IRR(U4:U34,0.1)</f>
        <v>0.0850000000000001</v>
      </c>
      <c r="V36" s="22" t="n">
        <f aca="false">IRR(V4:V34,0.1)</f>
        <v>0.085</v>
      </c>
      <c r="W36" s="22" t="n">
        <f aca="false">IRR(W4:W34,0.1)</f>
        <v>0.0850000000000001</v>
      </c>
      <c r="X36" s="22" t="n">
        <f aca="false">IRR(X4:X34,0.1)</f>
        <v>0.085</v>
      </c>
      <c r="Y36" s="22" t="n">
        <f aca="false">IRR(Y4:Y34,0.1)</f>
        <v>0.0849999999999999</v>
      </c>
      <c r="Z36" s="22" t="n">
        <f aca="false">IRR(Z4:Z34,0.1)</f>
        <v>0.0849999999999999</v>
      </c>
      <c r="AA36" s="22" t="n">
        <f aca="false">IRR(AA4:AA34,0.1)</f>
        <v>0.0849999999999999</v>
      </c>
      <c r="AB36" s="22" t="n">
        <f aca="false">IRR(AB4:AB34,0.1)</f>
        <v>0.0849999999999999</v>
      </c>
      <c r="AC36" s="22" t="n">
        <f aca="false">IRR(AC4:AC34,0.1)</f>
        <v>0.0849999999999999</v>
      </c>
    </row>
    <row r="39" customFormat="false" ht="12.75" hidden="false" customHeight="false" outlineLevel="0" collapsed="false">
      <c r="I39" s="5"/>
    </row>
    <row r="40" customFormat="false" ht="12.75" hidden="false" customHeight="false" outlineLevel="0" collapsed="false"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2" customFormat="false" ht="12.75" hidden="false" customHeight="false" outlineLevel="0" collapsed="false"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74" customFormat="false" ht="12.75" hidden="false" customHeight="false" outlineLevel="0" collapsed="false">
      <c r="H74" s="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8" customFormat="false" ht="12.75" hidden="false" customHeight="false" outlineLevel="0" collapsed="false">
      <c r="I78" s="5"/>
    </row>
    <row r="79" customFormat="false" ht="12.75" hidden="false" customHeight="false" outlineLevel="0" collapsed="false"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1" customFormat="false" ht="12.75" hidden="false" customHeight="false" outlineLevel="0" collapsed="false"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113" customFormat="false" ht="12.75" hidden="false" customHeight="false" outlineLevel="0" collapsed="false">
      <c r="H113" s="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1999-08-11T03:47:48Z</dcterms:created>
  <dc:creator>Nancy E. Wallace</dc:creator>
  <dc:description/>
  <dc:language>en-US</dc:language>
  <cp:lastModifiedBy>jdasovic</cp:lastModifiedBy>
  <cp:lastPrinted>1999-08-16T15:07:48Z</cp:lastPrinted>
  <dcterms:modified xsi:type="dcterms:W3CDTF">2001-11-25T16:07:04Z</dcterms:modified>
  <cp:revision>0</cp:revision>
  <dc:subject/>
  <dc:title/>
</cp:coreProperties>
</file>