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pyright" sheetId="1" state="visible" r:id="rId3"/>
    <sheet name="Exhibit 1" sheetId="2" state="visible" r:id="rId4"/>
    <sheet name="Exhibit 2" sheetId="3" state="visible" r:id="rId5"/>
    <sheet name="Exhibit 3" sheetId="4" state="visible" r:id="rId6"/>
    <sheet name="Exhibit 4" sheetId="5" state="visible" r:id="rId7"/>
    <sheet name="Exhibit 6" sheetId="6" state="visible" r:id="rId8"/>
    <sheet name="Sheet7" sheetId="7" state="hidden" r:id="rId9"/>
    <sheet name="Sheet8" sheetId="8" state="hidden" r:id="rId10"/>
    <sheet name="Sheet9" sheetId="9" state="hidden" r:id="rId11"/>
    <sheet name="Sheet10" sheetId="10" state="hidden" r:id="rId12"/>
    <sheet name="Sheet11" sheetId="11" state="hidden" r:id="rId13"/>
    <sheet name="Sheet12" sheetId="12" state="hidden" r:id="rId14"/>
    <sheet name="Sheet13" sheetId="13" state="hidden" r:id="rId15"/>
    <sheet name="Sheet14" sheetId="14" state="hidden" r:id="rId16"/>
    <sheet name="Sheet15" sheetId="15" state="hidden" r:id="rId17"/>
    <sheet name="Sheet16" sheetId="16" state="hidden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<sst xmlns="http://schemas.openxmlformats.org/spreadsheetml/2006/main" count="181" uniqueCount="147">
  <si>
    <t xml:space="preserve">NETSCAPE'S INITIAL PUBLIC OFFERING</t>
  </si>
  <si>
    <t xml:space="preserve">Harvard Business School</t>
  </si>
  <si>
    <t xml:space="preserve">Case Software 2-296-728</t>
  </si>
  <si>
    <t xml:space="preserve">Copyright © 1996 by the President and Fellows of Harvard College. </t>
  </si>
  <si>
    <t xml:space="preserve">Research Associate Kendall H. Backstrand wrote this case under the supervision</t>
  </si>
  <si>
    <t xml:space="preserve">of Professor W. Carl Kester as the basis for class discussion rather than to </t>
  </si>
  <si>
    <t xml:space="preserve">illustrate either effective or ineffective handling of an administrative situation.</t>
  </si>
  <si>
    <t xml:space="preserve">Exhibit 1     Consolidated Income Statements for Netscape Communications Corporation</t>
  </si>
  <si>
    <t xml:space="preserve">Growth 1995-2000</t>
  </si>
  <si>
    <t xml:space="preserve">NPV per Share</t>
  </si>
  <si>
    <t xml:space="preserve">WACC =</t>
  </si>
  <si>
    <t xml:space="preserve">Inception (April 4 to December 31, 1994)</t>
  </si>
  <si>
    <t xml:space="preserve">Six Months Ended June 30, 1995</t>
  </si>
  <si>
    <t xml:space="preserve">Growth 2000-2005</t>
  </si>
  <si>
    <t xml:space="preserve">Revenues:</t>
  </si>
  <si>
    <t xml:space="preserve">   Product revenues</t>
  </si>
  <si>
    <t xml:space="preserve">   Service revenues</t>
  </si>
  <si>
    <t xml:space="preserve">   Total Revenues</t>
  </si>
  <si>
    <t xml:space="preserve">Cost of Revenues:</t>
  </si>
  <si>
    <t xml:space="preserve">Total Revenues</t>
  </si>
  <si>
    <t xml:space="preserve">   Cost of product revenues</t>
  </si>
  <si>
    <t xml:space="preserve">   Cost of service revenues</t>
  </si>
  <si>
    <t xml:space="preserve">Total Cost of Revenues</t>
  </si>
  <si>
    <t xml:space="preserve">   Total Cost of Revenues</t>
  </si>
  <si>
    <t xml:space="preserve">Gross profit</t>
  </si>
  <si>
    <t xml:space="preserve">Gross Profit</t>
  </si>
  <si>
    <t xml:space="preserve">Operating Expenses:</t>
  </si>
  <si>
    <t xml:space="preserve">   Research and development</t>
  </si>
  <si>
    <t xml:space="preserve">R&amp;D</t>
  </si>
  <si>
    <t xml:space="preserve">   Sales and marketing</t>
  </si>
  <si>
    <t xml:space="preserve">Other Operating Expenses</t>
  </si>
  <si>
    <t xml:space="preserve">   General and administrative</t>
  </si>
  <si>
    <t xml:space="preserve">Total Operating Expenses</t>
  </si>
  <si>
    <t xml:space="preserve">   Property rights agreement and related charges</t>
  </si>
  <si>
    <t xml:space="preserve">   Total Operating Expenses</t>
  </si>
  <si>
    <t xml:space="preserve">Operating Gain/(Loss)</t>
  </si>
  <si>
    <t xml:space="preserve">Operating loss</t>
  </si>
  <si>
    <t xml:space="preserve">Interest income</t>
  </si>
  <si>
    <t xml:space="preserve">Interest Income</t>
  </si>
  <si>
    <t xml:space="preserve">Interest expense</t>
  </si>
  <si>
    <t xml:space="preserve">Interest Expense</t>
  </si>
  <si>
    <t xml:space="preserve">Net loss</t>
  </si>
  <si>
    <t xml:space="preserve">NI Before Income Tax Expense</t>
  </si>
  <si>
    <t xml:space="preserve">Net loss per share</t>
  </si>
  <si>
    <t xml:space="preserve">Income Tax Expense (34%)</t>
  </si>
  <si>
    <t xml:space="preserve">Shares used in computing net loss per share</t>
  </si>
  <si>
    <t xml:space="preserve">Net Income</t>
  </si>
  <si>
    <t xml:space="preserve">Add Interest Exp (1-t)</t>
  </si>
  <si>
    <t xml:space="preserve">EBI (NOPLAT)</t>
  </si>
  <si>
    <t xml:space="preserve">Add: Depreciation</t>
  </si>
  <si>
    <t xml:space="preserve">CFO (excl. int.)</t>
  </si>
  <si>
    <t xml:space="preserve">Less: Capital Expenditures, net</t>
  </si>
  <si>
    <t xml:space="preserve">FCF (free cash flow)</t>
  </si>
  <si>
    <t xml:space="preserve">PV of free cash flows (1996-2000)</t>
  </si>
  <si>
    <t xml:space="preserve">PV of free cash flows (2005 and beyond)</t>
  </si>
  <si>
    <t xml:space="preserve">PV of shareholders' equity (in millions)</t>
  </si>
  <si>
    <t xml:space="preserve">Shares outstanding</t>
  </si>
  <si>
    <t xml:space="preserve">Price per share</t>
  </si>
  <si>
    <t xml:space="preserve">Earnings per Share</t>
  </si>
  <si>
    <t xml:space="preserve">Exhibit 2     Consolidated Balance Sheets for Netscape Communications Corporation</t>
  </si>
  <si>
    <t xml:space="preserve">December 31,1994</t>
  </si>
  <si>
    <t xml:space="preserve">June 30,1995</t>
  </si>
  <si>
    <t xml:space="preserve">Assets</t>
  </si>
  <si>
    <t xml:space="preserve">Cash and short-term equivalents</t>
  </si>
  <si>
    <t xml:space="preserve">Short-term investments</t>
  </si>
  <si>
    <t xml:space="preserve">--</t>
  </si>
  <si>
    <t xml:space="preserve">Accounts receivable</t>
  </si>
  <si>
    <t xml:space="preserve">Other current assets</t>
  </si>
  <si>
    <t xml:space="preserve">   Total current assets</t>
  </si>
  <si>
    <t xml:space="preserve">Property and equipment, net</t>
  </si>
  <si>
    <t xml:space="preserve">Deposits and other assets</t>
  </si>
  <si>
    <t xml:space="preserve">   Total Assets</t>
  </si>
  <si>
    <t xml:space="preserve">Liabilities and Stockholders' Equity</t>
  </si>
  <si>
    <t xml:space="preserve">Accounts payable</t>
  </si>
  <si>
    <t xml:space="preserve">Accrued compensation and related liabilities</t>
  </si>
  <si>
    <t xml:space="preserve">Other accrued liabilities</t>
  </si>
  <si>
    <t xml:space="preserve">Deferred revenues</t>
  </si>
  <si>
    <t xml:space="preserve">Current portion of long-term obligations</t>
  </si>
  <si>
    <t xml:space="preserve">Installment notes payable</t>
  </si>
  <si>
    <t xml:space="preserve">   Total current liabilities</t>
  </si>
  <si>
    <t xml:space="preserve">Long-term obligations</t>
  </si>
  <si>
    <t xml:space="preserve">   Total Liabilities</t>
  </si>
  <si>
    <t xml:space="preserve">Preferred stock, $0.0001 par value</t>
  </si>
  <si>
    <t xml:space="preserve">Common stock, $0.0001 par value</t>
  </si>
  <si>
    <t xml:space="preserve">Additional paid-in capital</t>
  </si>
  <si>
    <t xml:space="preserve">Notes receivable from stockholders</t>
  </si>
  <si>
    <t xml:space="preserve">Deferred compensation</t>
  </si>
  <si>
    <t xml:space="preserve">Accumulated deficit</t>
  </si>
  <si>
    <t xml:space="preserve">Accumulated translation adjustment</t>
  </si>
  <si>
    <t xml:space="preserve">Total Stockholders' Equity </t>
  </si>
  <si>
    <t xml:space="preserve">Total Liabilities and Stockholders' Equity</t>
  </si>
  <si>
    <t xml:space="preserve">Exhibit 3     Comparative Information on Potential Competitors (for year ended June 30, 1995; in $000s except per-share data)</t>
  </si>
  <si>
    <t xml:space="preserve">Netscape(a)</t>
  </si>
  <si>
    <t xml:space="preserve">America Online, Inc.</t>
  </si>
  <si>
    <t xml:space="preserve">Microsoft Corp.</t>
  </si>
  <si>
    <t xml:space="preserve">Spyglass, Inc.</t>
  </si>
  <si>
    <t xml:space="preserve">Net revenues</t>
  </si>
  <si>
    <t xml:space="preserve">Operating expenses</t>
  </si>
  <si>
    <t xml:space="preserve">Operating income (loss)</t>
  </si>
  <si>
    <t xml:space="preserve">Net income (loss)</t>
  </si>
  <si>
    <t xml:space="preserve">Earnings per share</t>
  </si>
  <si>
    <t xml:space="preserve">Weighted average shares outstanding</t>
  </si>
  <si>
    <t xml:space="preserve">Capital expenditures</t>
  </si>
  <si>
    <t xml:space="preserve">Depreciation, depletion, and amortization</t>
  </si>
  <si>
    <t xml:space="preserve">Current assets</t>
  </si>
  <si>
    <t xml:space="preserve">     Cash and short-term investments</t>
  </si>
  <si>
    <t xml:space="preserve">Total assets</t>
  </si>
  <si>
    <t xml:space="preserve">Current liabilities</t>
  </si>
  <si>
    <t xml:space="preserve">Total liabilities</t>
  </si>
  <si>
    <t xml:space="preserve">Net worth</t>
  </si>
  <si>
    <t xml:space="preserve">Current ratio</t>
  </si>
  <si>
    <t xml:space="preserve">Debt/total capital</t>
  </si>
  <si>
    <t xml:space="preserve">Common stock price (close)</t>
  </si>
  <si>
    <t xml:space="preserve">N/A</t>
  </si>
  <si>
    <t xml:space="preserve">P/E ratio</t>
  </si>
  <si>
    <t xml:space="preserve">Equity beta(b)</t>
  </si>
  <si>
    <t xml:space="preserve">(a)  Netscape's financial data reflects the company's performance since inception in April 1994.  </t>
  </si>
  <si>
    <t xml:space="preserve">Netscape did not begin to ship products or earn significant product revenues until December 1994.</t>
  </si>
  <si>
    <t xml:space="preserve">(b)  Bloomberg estimates based on weekly data for the year ended June 30, 1995.</t>
  </si>
  <si>
    <t xml:space="preserve">Exhibit 4     Historical Data of the IPO Market</t>
  </si>
  <si>
    <t xml:space="preserve">All IPOs:</t>
  </si>
  <si>
    <t xml:space="preserve">   Number of companies</t>
  </si>
  <si>
    <t xml:space="preserve">   Total dollar amount offered (in $ billions)</t>
  </si>
  <si>
    <t xml:space="preserve">   Average % gain after first day of trading</t>
  </si>
  <si>
    <t xml:space="preserve">Venture-backed IPOs:</t>
  </si>
  <si>
    <t xml:space="preserve">   Average age of companies</t>
  </si>
  <si>
    <t xml:space="preserve">   Average offering size (in $ millions)</t>
  </si>
  <si>
    <t xml:space="preserve">   Average offering valuation (in $ millions)</t>
  </si>
  <si>
    <t xml:space="preserve">Exhibit 6     Information on Internet-related IPOs (for the respective fiscal year preceding the IPO)</t>
  </si>
  <si>
    <t xml:space="preserve">Netcom Online Communication Services, Inc.</t>
  </si>
  <si>
    <t xml:space="preserve">Performance Systems International, Inc.</t>
  </si>
  <si>
    <t xml:space="preserve">Uunet Technologies Inc.</t>
  </si>
  <si>
    <t xml:space="preserve">(year ended 12/31/93)</t>
  </si>
  <si>
    <t xml:space="preserve">(year ended 12/31/94)</t>
  </si>
  <si>
    <t xml:space="preserve">(year ended 9/30/94)</t>
  </si>
  <si>
    <t xml:space="preserve">Financial Data:</t>
  </si>
  <si>
    <t xml:space="preserve">Operating costs and expenses</t>
  </si>
  <si>
    <t xml:space="preserve">Operating income</t>
  </si>
  <si>
    <t xml:space="preserve">Net income</t>
  </si>
  <si>
    <t xml:space="preserve">(5,342,000</t>
  </si>
  <si>
    <t xml:space="preserve">IPO Data:</t>
  </si>
  <si>
    <t xml:space="preserve">Date of IPO</t>
  </si>
  <si>
    <t xml:space="preserve">Price per share offered</t>
  </si>
  <si>
    <t xml:space="preserve">Number of shares offered</t>
  </si>
  <si>
    <t xml:space="preserve">% of total equity sold</t>
  </si>
  <si>
    <t xml:space="preserve">% change in stock price after first day of trading</t>
  </si>
  <si>
    <t xml:space="preserve">Price per share on August 8, 1995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</si>
</sst>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0.0%"/>
    <numFmt numFmtId="166" formatCode="_(\$* #,##0.00_);_(\$* \(#,##0.00\);_(\$* \-??_);_(@_)"/>
    <numFmt numFmtId="167" formatCode="0%"/>
    <numFmt numFmtId="168" formatCode="0.00%"/>
    <numFmt numFmtId="169" formatCode="\$#,##0_);[RED]&quot;($&quot;#,##0\)"/>
    <numFmt numFmtId="170" formatCode="#,##0"/>
    <numFmt numFmtId="171" formatCode="\$#,##0.00_);[RED]&quot;($&quot;#,##0.00\)"/>
    <numFmt numFmtId="172" formatCode="_(\$* #,##0_);_(\$* \(#,##0\);_(\$* \-??_);_(@_)"/>
    <numFmt numFmtId="173" formatCode="#,##0.0_);\(#,##0.0\)"/>
    <numFmt numFmtId="174" formatCode="_(* #,##0.00_);_(* \(#,##0.00\);_(* \-??_);_(@_)"/>
    <numFmt numFmtId="175" formatCode="_(* #,##0_);_(* \(#,##0\);_(* \-??_);_(@_)"/>
    <numFmt numFmtId="176" formatCode="0.00"/>
    <numFmt numFmtId="177" formatCode="[$-409]#,##0_);[RED]\(#,##0\)"/>
    <numFmt numFmtId="178" formatCode="[$-409]#,##0.00_);[RED]\(#,##0.00\)"/>
    <numFmt numFmtId="179" formatCode="0.000%"/>
    <numFmt numFmtId="180" formatCode="[$-409]m/d/yyyy"/>
  </numFmts>
  <fonts count="10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Geneva"/>
      <family val="0"/>
    </font>
    <font>
      <b val="true"/>
      <sz val="10"/>
      <name val="Geneva"/>
      <family val="0"/>
    </font>
    <font>
      <sz val="10"/>
      <color rgb="FFFF0000"/>
      <name val="Geneva"/>
      <family val="0"/>
    </font>
    <font>
      <u val="single"/>
      <sz val="10"/>
      <name val="Geneva"/>
      <family val="0"/>
    </font>
    <font>
      <b val="true"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12.75" hidden="false" customHeight="false" outlineLevel="0" collapsed="false">
      <c r="A7" s="0" t="s">
        <v>4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S46"/>
  <sheetViews>
    <sheetView showFormulas="false" showGridLines="false" showRowColHeaders="true" showZeros="true" rightToLeft="false" tabSelected="true" showOutlineSymbols="true" defaultGridColor="true" view="normal" topLeftCell="G2" colorId="64" zoomScale="75" zoomScaleNormal="75" zoomScalePageLayoutView="100" workbookViewId="0">
      <selection pane="topLeft" activeCell="H4" activeCellId="0" sqref="H4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82.85"/>
    <col collapsed="false" customWidth="true" hidden="false" outlineLevel="0" max="3" min="3" style="0" width="22.7"/>
    <col collapsed="false" customWidth="true" hidden="false" outlineLevel="0" max="4" min="4" style="0" width="21.42"/>
    <col collapsed="false" customWidth="true" hidden="false" outlineLevel="0" max="7" min="7" style="0" width="40.56"/>
    <col collapsed="false" customWidth="true" hidden="false" outlineLevel="0" max="8" min="8" style="0" width="15.41"/>
    <col collapsed="false" customWidth="true" hidden="false" outlineLevel="0" max="9" min="9" style="0" width="12.42"/>
    <col collapsed="false" customWidth="true" hidden="false" outlineLevel="0" max="10" min="10" style="0" width="13.99"/>
    <col collapsed="false" customWidth="true" hidden="false" outlineLevel="0" max="11" min="11" style="0" width="12.7"/>
    <col collapsed="false" customWidth="true" hidden="false" outlineLevel="0" max="13" min="12" style="0" width="14.28"/>
    <col collapsed="false" customWidth="true" hidden="false" outlineLevel="0" max="15" min="14" style="0" width="12.7"/>
    <col collapsed="false" customWidth="true" hidden="false" outlineLevel="0" max="18" min="16" style="0" width="14.28"/>
  </cols>
  <sheetData>
    <row r="2" customFormat="false" ht="12.75" hidden="false" customHeight="false" outlineLevel="0" collapsed="false">
      <c r="B2" s="2" t="s">
        <v>7</v>
      </c>
      <c r="G2" s="0" t="s">
        <v>8</v>
      </c>
      <c r="H2" s="3" t="n">
        <v>0.6</v>
      </c>
      <c r="J2" s="2" t="s">
        <v>9</v>
      </c>
      <c r="K2" s="4" t="n">
        <f aca="false">(SUM(H46:Q46))+((Q40/(0.0271))/1.0671^11)</f>
        <v>279.825553275862</v>
      </c>
      <c r="L2" s="5" t="s">
        <v>10</v>
      </c>
      <c r="M2" s="6" t="n">
        <v>0.13</v>
      </c>
    </row>
    <row r="3" customFormat="false" ht="14.25" hidden="false" customHeight="true" outlineLevel="0" collapsed="false">
      <c r="C3" s="7" t="s">
        <v>11</v>
      </c>
      <c r="D3" s="7" t="s">
        <v>12</v>
      </c>
      <c r="E3" s="0" t="n">
        <v>1995</v>
      </c>
      <c r="G3" s="0" t="s">
        <v>13</v>
      </c>
      <c r="H3" s="3" t="n">
        <v>0.3</v>
      </c>
    </row>
    <row r="4" customFormat="false" ht="6.75" hidden="false" customHeight="true" outlineLevel="0" collapsed="false">
      <c r="B4" s="2" t="s">
        <v>14</v>
      </c>
    </row>
    <row r="5" customFormat="false" ht="7.5" hidden="false" customHeight="true" outlineLevel="0" collapsed="false">
      <c r="B5" s="0" t="s">
        <v>15</v>
      </c>
      <c r="C5" s="8" t="n">
        <v>378490</v>
      </c>
      <c r="D5" s="8" t="n">
        <v>15580258</v>
      </c>
      <c r="E5" s="9" t="n">
        <f aca="false">D5*2</f>
        <v>31160516</v>
      </c>
      <c r="F5" s="9"/>
      <c r="G5" s="9"/>
    </row>
    <row r="6" customFormat="false" ht="12.75" hidden="false" customHeight="false" outlineLevel="0" collapsed="false">
      <c r="B6" s="0" t="s">
        <v>16</v>
      </c>
      <c r="C6" s="10" t="n">
        <v>317381</v>
      </c>
      <c r="D6" s="10" t="n">
        <v>1045133</v>
      </c>
      <c r="E6" s="9" t="n">
        <f aca="false">D6*2</f>
        <v>2090266</v>
      </c>
      <c r="F6" s="9"/>
      <c r="G6" s="9"/>
      <c r="H6" s="0" t="n">
        <v>1996</v>
      </c>
      <c r="I6" s="0" t="n">
        <v>1997</v>
      </c>
      <c r="J6" s="0" t="n">
        <v>1998</v>
      </c>
      <c r="K6" s="0" t="n">
        <v>1999</v>
      </c>
      <c r="L6" s="0" t="n">
        <v>2000</v>
      </c>
      <c r="M6" s="0" t="n">
        <v>2001</v>
      </c>
      <c r="N6" s="0" t="n">
        <v>2002</v>
      </c>
      <c r="O6" s="0" t="n">
        <v>2003</v>
      </c>
      <c r="P6" s="0" t="n">
        <v>2004</v>
      </c>
      <c r="Q6" s="0" t="n">
        <v>2005</v>
      </c>
    </row>
    <row r="7" customFormat="false" ht="9" hidden="false" customHeight="true" outlineLevel="0" collapsed="false">
      <c r="B7" s="0" t="s">
        <v>17</v>
      </c>
      <c r="C7" s="11" t="n">
        <f aca="false">SUM(C5:C6)</f>
        <v>695871</v>
      </c>
      <c r="D7" s="11" t="n">
        <f aca="false">SUM(D5:D6)</f>
        <v>16625391</v>
      </c>
      <c r="E7" s="9" t="n">
        <f aca="false">E5+E6</f>
        <v>33250782</v>
      </c>
      <c r="F7" s="9"/>
      <c r="G7" s="9"/>
    </row>
    <row r="8" customFormat="false" ht="17.1" hidden="false" customHeight="true" outlineLevel="0" collapsed="false">
      <c r="B8" s="2" t="s">
        <v>18</v>
      </c>
      <c r="C8" s="12"/>
      <c r="D8" s="12"/>
      <c r="G8" s="2" t="s">
        <v>19</v>
      </c>
      <c r="H8" s="9" t="n">
        <f aca="false">E7*(1+$H$2)</f>
        <v>53201251.2</v>
      </c>
      <c r="I8" s="9" t="n">
        <f aca="false">H8*(1+$H$2)</f>
        <v>85122001.92</v>
      </c>
      <c r="J8" s="9" t="n">
        <f aca="false">I8*(1+$H$2)</f>
        <v>136195203.072</v>
      </c>
      <c r="K8" s="9" t="n">
        <f aca="false">J8*(1+$H$2)</f>
        <v>217912324.9152</v>
      </c>
      <c r="L8" s="9" t="n">
        <f aca="false">K8*(1+$H$2)</f>
        <v>348659719.86432</v>
      </c>
      <c r="M8" s="9" t="n">
        <f aca="false">L8*(1+$H$3)</f>
        <v>453257635.823616</v>
      </c>
      <c r="N8" s="9" t="n">
        <f aca="false">M8*(1+$H$3)</f>
        <v>589234926.570701</v>
      </c>
      <c r="O8" s="9" t="n">
        <f aca="false">N8*(1+$H$3)</f>
        <v>766005404.541911</v>
      </c>
      <c r="P8" s="9" t="n">
        <f aca="false">O8*(1+$H$3)</f>
        <v>995807025.904485</v>
      </c>
      <c r="Q8" s="9" t="n">
        <f aca="false">P8*(1+$H$3)</f>
        <v>1294549133.67583</v>
      </c>
      <c r="R8" s="9"/>
      <c r="S8" s="9"/>
    </row>
    <row r="9" customFormat="false" ht="17.1" hidden="false" customHeight="true" outlineLevel="0" collapsed="false">
      <c r="B9" s="0" t="s">
        <v>20</v>
      </c>
      <c r="C9" s="11" t="n">
        <v>114777</v>
      </c>
      <c r="D9" s="11" t="n">
        <v>1222045</v>
      </c>
      <c r="E9" s="9" t="n">
        <f aca="false">D9*2</f>
        <v>2444090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7.1" hidden="false" customHeight="true" outlineLevel="0" collapsed="false">
      <c r="B10" s="0" t="s">
        <v>21</v>
      </c>
      <c r="C10" s="10" t="n">
        <v>104313</v>
      </c>
      <c r="D10" s="10" t="n">
        <v>513767</v>
      </c>
      <c r="E10" s="9" t="n">
        <f aca="false">D10*2</f>
        <v>1027534</v>
      </c>
      <c r="F10" s="9"/>
      <c r="G10" s="13" t="s">
        <v>22</v>
      </c>
      <c r="H10" s="9" t="n">
        <f aca="false">H8*0.104</f>
        <v>5532930.1248</v>
      </c>
      <c r="I10" s="9" t="n">
        <f aca="false">I8*0.104</f>
        <v>8852688.19968</v>
      </c>
      <c r="J10" s="9" t="n">
        <f aca="false">J8*0.104</f>
        <v>14164301.119488</v>
      </c>
      <c r="K10" s="9" t="n">
        <f aca="false">K8*0.104</f>
        <v>22662881.7911808</v>
      </c>
      <c r="L10" s="9" t="n">
        <f aca="false">L8*0.104</f>
        <v>36260610.8658893</v>
      </c>
      <c r="M10" s="9" t="n">
        <f aca="false">M8*0.104</f>
        <v>47138794.1256561</v>
      </c>
      <c r="N10" s="9" t="n">
        <f aca="false">N8*0.104</f>
        <v>61280432.3633529</v>
      </c>
      <c r="O10" s="9" t="n">
        <f aca="false">O8*0.104</f>
        <v>79664562.0723588</v>
      </c>
      <c r="P10" s="9" t="n">
        <f aca="false">P8*0.104</f>
        <v>103563930.694066</v>
      </c>
      <c r="Q10" s="9" t="n">
        <f aca="false">Q8*0.104</f>
        <v>134633109.902286</v>
      </c>
      <c r="R10" s="9"/>
      <c r="S10" s="9"/>
    </row>
    <row r="11" customFormat="false" ht="18" hidden="false" customHeight="true" outlineLevel="0" collapsed="false">
      <c r="B11" s="0" t="s">
        <v>23</v>
      </c>
      <c r="C11" s="11" t="n">
        <f aca="false">SUM(C9:C10)</f>
        <v>219090</v>
      </c>
      <c r="D11" s="11" t="n">
        <f aca="false">SUM(D9:D10)</f>
        <v>1735812</v>
      </c>
      <c r="E11" s="9" t="n">
        <f aca="false">E9+E10</f>
        <v>3471624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customFormat="false" ht="24.95" hidden="false" customHeight="true" outlineLevel="0" collapsed="false">
      <c r="B12" s="2" t="s">
        <v>24</v>
      </c>
      <c r="C12" s="11" t="n">
        <v>476781</v>
      </c>
      <c r="D12" s="11" t="n">
        <v>14889579</v>
      </c>
      <c r="E12" s="9" t="n">
        <f aca="false">E7-E11</f>
        <v>29779158</v>
      </c>
      <c r="F12" s="9"/>
      <c r="G12" s="13" t="s">
        <v>25</v>
      </c>
      <c r="H12" s="9" t="n">
        <f aca="false">H8-H10</f>
        <v>47668321.0752</v>
      </c>
      <c r="I12" s="9" t="n">
        <f aca="false">I8-I10</f>
        <v>76269313.72032</v>
      </c>
      <c r="J12" s="9" t="n">
        <f aca="false">J8-J10</f>
        <v>122030901.952512</v>
      </c>
      <c r="K12" s="9" t="n">
        <f aca="false">K8-K10</f>
        <v>195249443.124019</v>
      </c>
      <c r="L12" s="9" t="n">
        <f aca="false">L8-L10</f>
        <v>312399108.998431</v>
      </c>
      <c r="M12" s="9" t="n">
        <f aca="false">M8-M10</f>
        <v>406118841.69796</v>
      </c>
      <c r="N12" s="9" t="n">
        <f aca="false">N8-N10</f>
        <v>527954494.207348</v>
      </c>
      <c r="O12" s="9" t="n">
        <f aca="false">O8-O10</f>
        <v>686340842.469553</v>
      </c>
      <c r="P12" s="9" t="n">
        <f aca="false">P8-P10</f>
        <v>892243095.210418</v>
      </c>
      <c r="Q12" s="9" t="n">
        <f aca="false">Q8-Q10</f>
        <v>1159916023.77354</v>
      </c>
      <c r="R12" s="9"/>
      <c r="S12" s="9"/>
    </row>
    <row r="13" customFormat="false" ht="27" hidden="false" customHeight="true" outlineLevel="0" collapsed="false">
      <c r="B13" s="2" t="s">
        <v>26</v>
      </c>
      <c r="C13" s="12"/>
      <c r="D13" s="12"/>
      <c r="G13" s="2" t="s">
        <v>26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customFormat="false" ht="15.95" hidden="false" customHeight="true" outlineLevel="0" collapsed="false">
      <c r="B14" s="0" t="s">
        <v>27</v>
      </c>
      <c r="C14" s="11" t="n">
        <v>2031986</v>
      </c>
      <c r="D14" s="11" t="n">
        <v>6115152</v>
      </c>
      <c r="E14" s="11" t="n">
        <f aca="false">D14*2</f>
        <v>12230304</v>
      </c>
      <c r="F14" s="11"/>
      <c r="G14" s="14" t="s">
        <v>28</v>
      </c>
      <c r="H14" s="9" t="n">
        <f aca="false">H8*0.368</f>
        <v>19578060.4416</v>
      </c>
      <c r="I14" s="9" t="n">
        <f aca="false">I8*0.368</f>
        <v>31324896.70656</v>
      </c>
      <c r="J14" s="9" t="n">
        <f aca="false">J8*0.368</f>
        <v>50119834.730496</v>
      </c>
      <c r="K14" s="9" t="n">
        <f aca="false">K8*0.368</f>
        <v>80191735.5687936</v>
      </c>
      <c r="L14" s="9" t="n">
        <f aca="false">L8*0.368</f>
        <v>128306776.91007</v>
      </c>
      <c r="M14" s="9" t="n">
        <f aca="false">M8*0.368</f>
        <v>166798809.983091</v>
      </c>
      <c r="N14" s="9" t="n">
        <f aca="false">N8*0.368</f>
        <v>216838452.978018</v>
      </c>
      <c r="O14" s="9" t="n">
        <f aca="false">O8*0.368</f>
        <v>281889988.871423</v>
      </c>
      <c r="P14" s="9" t="n">
        <f aca="false">P8*0.368</f>
        <v>366456985.53285</v>
      </c>
      <c r="Q14" s="9" t="n">
        <f aca="false">Q8*0.368</f>
        <v>476394081.192705</v>
      </c>
      <c r="R14" s="9"/>
      <c r="S14" s="9"/>
    </row>
    <row r="15" customFormat="false" ht="15.95" hidden="false" customHeight="true" outlineLevel="0" collapsed="false">
      <c r="B15" s="0" t="s">
        <v>29</v>
      </c>
      <c r="C15" s="11" t="n">
        <v>2813689</v>
      </c>
      <c r="D15" s="11" t="n">
        <v>9256066</v>
      </c>
      <c r="E15" s="11" t="n">
        <f aca="false">D15*2</f>
        <v>18512132</v>
      </c>
      <c r="F15" s="11"/>
      <c r="G15" s="14" t="s">
        <v>30</v>
      </c>
      <c r="H15" s="9" t="n">
        <f aca="false">H8*0.709</f>
        <v>37719687.1008</v>
      </c>
      <c r="I15" s="9" t="n">
        <f aca="false">H8*0.609</f>
        <v>32399561.9808</v>
      </c>
      <c r="J15" s="9" t="n">
        <f aca="false">H8*0.509</f>
        <v>27079436.8608</v>
      </c>
      <c r="K15" s="9" t="n">
        <f aca="false">H8*0.409</f>
        <v>21759311.7408</v>
      </c>
      <c r="L15" s="9" t="n">
        <f aca="false">H8*0.309</f>
        <v>16439186.6208</v>
      </c>
      <c r="M15" s="9" t="n">
        <f aca="false">H8*0.209</f>
        <v>11119061.5008</v>
      </c>
      <c r="N15" s="9" t="n">
        <f aca="false">I8*0.209</f>
        <v>17790498.40128</v>
      </c>
      <c r="O15" s="9" t="n">
        <f aca="false">J8*0.209</f>
        <v>28464797.442048</v>
      </c>
      <c r="P15" s="9" t="n">
        <f aca="false">K8*0.209</f>
        <v>45543675.9072768</v>
      </c>
      <c r="Q15" s="9" t="n">
        <f aca="false">L8*0.209</f>
        <v>72869881.4516429</v>
      </c>
      <c r="R15" s="9"/>
      <c r="S15" s="9"/>
    </row>
    <row r="16" customFormat="false" ht="15.95" hidden="false" customHeight="true" outlineLevel="0" collapsed="false">
      <c r="B16" s="0" t="s">
        <v>31</v>
      </c>
      <c r="C16" s="11" t="n">
        <v>1669193</v>
      </c>
      <c r="D16" s="11" t="n">
        <v>3693005</v>
      </c>
      <c r="E16" s="11" t="n">
        <f aca="false">D16*2</f>
        <v>7386010</v>
      </c>
      <c r="F16" s="11"/>
      <c r="G16" s="14" t="s">
        <v>32</v>
      </c>
      <c r="H16" s="9" t="n">
        <f aca="false">H14+H15</f>
        <v>57297747.5424</v>
      </c>
      <c r="I16" s="9" t="n">
        <f aca="false">I14+I15</f>
        <v>63724458.68736</v>
      </c>
      <c r="J16" s="9" t="n">
        <f aca="false">J14+J15</f>
        <v>77199271.591296</v>
      </c>
      <c r="K16" s="9" t="n">
        <f aca="false">K14+K15</f>
        <v>101951047.309594</v>
      </c>
      <c r="L16" s="9" t="n">
        <f aca="false">L14+L15</f>
        <v>144745963.53087</v>
      </c>
      <c r="M16" s="9" t="n">
        <f aca="false">M14+M15</f>
        <v>177917871.483891</v>
      </c>
      <c r="N16" s="9" t="n">
        <f aca="false">N14+N15</f>
        <v>234628951.379298</v>
      </c>
      <c r="O16" s="9" t="n">
        <f aca="false">O14+O15</f>
        <v>310354786.313471</v>
      </c>
      <c r="P16" s="9" t="n">
        <f aca="false">P14+P15</f>
        <v>412000661.440127</v>
      </c>
      <c r="Q16" s="9" t="n">
        <f aca="false">Q14+Q15</f>
        <v>549263962.644348</v>
      </c>
      <c r="R16" s="9"/>
      <c r="S16" s="9"/>
    </row>
    <row r="17" customFormat="false" ht="18" hidden="false" customHeight="true" outlineLevel="0" collapsed="false">
      <c r="B17" s="0" t="s">
        <v>33</v>
      </c>
      <c r="C17" s="10" t="n">
        <v>2486688</v>
      </c>
      <c r="D17" s="10" t="n">
        <v>500000</v>
      </c>
      <c r="E17" s="11" t="n">
        <f aca="false">D17*2</f>
        <v>1000000</v>
      </c>
      <c r="F17" s="11"/>
      <c r="G17" s="11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customFormat="false" ht="18" hidden="false" customHeight="true" outlineLevel="0" collapsed="false">
      <c r="B18" s="0" t="s">
        <v>34</v>
      </c>
      <c r="C18" s="11" t="n">
        <f aca="false">SUM(C14:C17)</f>
        <v>9001556</v>
      </c>
      <c r="D18" s="11" t="n">
        <f aca="false">SUM(D14:D17)</f>
        <v>19564223</v>
      </c>
      <c r="E18" s="11" t="n">
        <f aca="false">SUM(E14:E17)</f>
        <v>39128446</v>
      </c>
      <c r="F18" s="11"/>
      <c r="G18" s="11" t="s">
        <v>35</v>
      </c>
      <c r="H18" s="9" t="n">
        <f aca="false">H12-H16</f>
        <v>-9629426.4672</v>
      </c>
      <c r="I18" s="9" t="n">
        <f aca="false">I12-I16</f>
        <v>12544855.03296</v>
      </c>
      <c r="J18" s="9" t="n">
        <f aca="false">J12-J16</f>
        <v>44831630.361216</v>
      </c>
      <c r="K18" s="9" t="n">
        <f aca="false">K12-K16</f>
        <v>93298395.8144257</v>
      </c>
      <c r="L18" s="9" t="n">
        <f aca="false">L12-L16</f>
        <v>167653145.467561</v>
      </c>
      <c r="M18" s="9" t="n">
        <f aca="false">M12-M16</f>
        <v>228200970.214069</v>
      </c>
      <c r="N18" s="9" t="n">
        <f aca="false">N12-N16</f>
        <v>293325542.82805</v>
      </c>
      <c r="O18" s="9" t="n">
        <f aca="false">O12-O16</f>
        <v>375986056.156081</v>
      </c>
      <c r="P18" s="9" t="n">
        <f aca="false">P12-P16</f>
        <v>480242433.770291</v>
      </c>
      <c r="Q18" s="9" t="n">
        <f aca="false">Q12-Q16</f>
        <v>610652061.129196</v>
      </c>
      <c r="R18" s="9"/>
      <c r="S18" s="9"/>
    </row>
    <row r="19" customFormat="false" ht="24.95" hidden="false" customHeight="true" outlineLevel="0" collapsed="false">
      <c r="B19" s="0" t="s">
        <v>36</v>
      </c>
      <c r="C19" s="11" t="n">
        <v>-8524775</v>
      </c>
      <c r="D19" s="11" t="n">
        <v>-4674644</v>
      </c>
      <c r="E19" s="9" t="n">
        <f aca="false">E12-E18</f>
        <v>-9349288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customFormat="false" ht="17.1" hidden="false" customHeight="true" outlineLevel="0" collapsed="false">
      <c r="B20" s="0" t="s">
        <v>37</v>
      </c>
      <c r="C20" s="11" t="n">
        <v>55238</v>
      </c>
      <c r="D20" s="11" t="n">
        <v>495583</v>
      </c>
      <c r="E20" s="0" t="n">
        <f aca="false">D20*2</f>
        <v>991166</v>
      </c>
      <c r="G20" s="0" t="s">
        <v>38</v>
      </c>
      <c r="H20" s="9" t="n">
        <f aca="false">E20*(1+$H$2)</f>
        <v>1585865.6</v>
      </c>
      <c r="I20" s="9" t="n">
        <f aca="false">H20*(1+$H$2)</f>
        <v>2537384.96</v>
      </c>
      <c r="J20" s="9" t="n">
        <f aca="false">I20*(1+$H$2)</f>
        <v>4059815.936</v>
      </c>
      <c r="K20" s="9" t="n">
        <f aca="false">J20*(1+$H$2)</f>
        <v>6495705.4976</v>
      </c>
      <c r="L20" s="9" t="n">
        <f aca="false">K20*(1+$H$2)</f>
        <v>10393128.79616</v>
      </c>
      <c r="M20" s="9" t="n">
        <f aca="false">L20*(1+$H$2)</f>
        <v>16629006.073856</v>
      </c>
      <c r="N20" s="9" t="n">
        <f aca="false">M20*(1+$H$2)</f>
        <v>26606409.7181696</v>
      </c>
      <c r="O20" s="9" t="n">
        <f aca="false">N20*(1+$H$2)</f>
        <v>42570255.5490714</v>
      </c>
      <c r="P20" s="9" t="n">
        <f aca="false">O20*(1+$H$2)</f>
        <v>68112408.8785142</v>
      </c>
      <c r="Q20" s="9" t="n">
        <f aca="false">P20*(1+$H$2)</f>
        <v>108979854.205623</v>
      </c>
      <c r="R20" s="9"/>
      <c r="S20" s="9"/>
    </row>
    <row r="21" customFormat="false" ht="17.1" hidden="false" customHeight="true" outlineLevel="0" collapsed="false">
      <c r="B21" s="0" t="s">
        <v>39</v>
      </c>
      <c r="C21" s="15" t="n">
        <v>-308</v>
      </c>
      <c r="D21" s="10" t="n">
        <v>-128655</v>
      </c>
      <c r="E21" s="0" t="n">
        <f aca="false">D21*2</f>
        <v>-257310</v>
      </c>
      <c r="F21" s="6" t="n">
        <f aca="false">-E21/E7</f>
        <v>0.00773846461716299</v>
      </c>
      <c r="G21" s="0" t="s">
        <v>40</v>
      </c>
      <c r="H21" s="9" t="n">
        <f aca="false">E21*(1+$H$2)</f>
        <v>-411696</v>
      </c>
      <c r="I21" s="9" t="n">
        <f aca="false">H21*(1+$H$2)</f>
        <v>-658713.6</v>
      </c>
      <c r="J21" s="9" t="n">
        <f aca="false">I21*(1+$H$2)</f>
        <v>-1053941.76</v>
      </c>
      <c r="K21" s="9" t="n">
        <f aca="false">J21*(1+$H$2)</f>
        <v>-1686306.816</v>
      </c>
      <c r="L21" s="9" t="n">
        <f aca="false">K21*(1+$H$2)</f>
        <v>-2698090.9056</v>
      </c>
      <c r="M21" s="9" t="n">
        <f aca="false">L21*(1+$H$2)</f>
        <v>-4316945.44896</v>
      </c>
      <c r="N21" s="9" t="n">
        <f aca="false">M21*(1+$H$2)</f>
        <v>-6907112.718336</v>
      </c>
      <c r="O21" s="9" t="n">
        <f aca="false">N21*(1+$H$2)</f>
        <v>-11051380.3493376</v>
      </c>
      <c r="P21" s="9" t="n">
        <f aca="false">O21*(1+$H$2)</f>
        <v>-17682208.5589402</v>
      </c>
      <c r="Q21" s="9" t="n">
        <f aca="false">P21*(1+$H$2)</f>
        <v>-28291533.6943043</v>
      </c>
      <c r="R21" s="9"/>
    </row>
    <row r="22" customFormat="false" ht="17.1" hidden="false" customHeight="true" outlineLevel="0" collapsed="false">
      <c r="B22" s="0" t="s">
        <v>41</v>
      </c>
      <c r="C22" s="8" t="n">
        <f aca="false">SUM(C19:C21)</f>
        <v>-8469845</v>
      </c>
      <c r="D22" s="8" t="n">
        <f aca="false">SUM(D19:D21)</f>
        <v>-4307716</v>
      </c>
      <c r="E22" s="8" t="n">
        <f aca="false">SUM(E19:E21)</f>
        <v>-8615432</v>
      </c>
      <c r="F22" s="8"/>
      <c r="G22" s="16" t="s">
        <v>42</v>
      </c>
      <c r="H22" s="9" t="n">
        <f aca="false">H18+H20+H21</f>
        <v>-8455256.8672</v>
      </c>
      <c r="I22" s="9" t="n">
        <f aca="false">I18+I20+I21</f>
        <v>14423526.39296</v>
      </c>
      <c r="J22" s="9" t="n">
        <f aca="false">J18+J20+J21</f>
        <v>47837504.537216</v>
      </c>
      <c r="K22" s="9" t="n">
        <f aca="false">K18+K20+K21</f>
        <v>98107794.4960257</v>
      </c>
      <c r="L22" s="9" t="n">
        <f aca="false">L18+L20+L21</f>
        <v>175348183.358121</v>
      </c>
      <c r="M22" s="9" t="n">
        <f aca="false">M18+M20+M21</f>
        <v>240513030.838965</v>
      </c>
      <c r="N22" s="9" t="n">
        <f aca="false">N18+N20+N21</f>
        <v>313024839.827884</v>
      </c>
      <c r="O22" s="9" t="n">
        <f aca="false">O18+O20+O21</f>
        <v>407504931.355815</v>
      </c>
      <c r="P22" s="9" t="n">
        <f aca="false">P18+P20+P21</f>
        <v>530672634.089865</v>
      </c>
      <c r="Q22" s="9" t="n">
        <f aca="false">Q18+Q20+Q21</f>
        <v>691340381.640514</v>
      </c>
    </row>
    <row r="23" customFormat="false" ht="15.95" hidden="false" customHeight="true" outlineLevel="0" collapsed="false">
      <c r="B23" s="0" t="s">
        <v>43</v>
      </c>
      <c r="C23" s="17" t="n">
        <v>-0.26</v>
      </c>
      <c r="D23" s="17" t="n">
        <v>-0.13</v>
      </c>
      <c r="E23" s="18" t="n">
        <f aca="false">E22/E24</f>
        <v>-0.261067755700469</v>
      </c>
      <c r="F23" s="18"/>
      <c r="G23" s="18" t="s">
        <v>44</v>
      </c>
      <c r="I23" s="9" t="n">
        <f aca="false">0.34*I22</f>
        <v>4903998.97360641</v>
      </c>
      <c r="J23" s="9" t="n">
        <f aca="false">0.34*J22</f>
        <v>16264751.5426534</v>
      </c>
      <c r="K23" s="9" t="n">
        <f aca="false">0.34*K22</f>
        <v>33356650.1286487</v>
      </c>
      <c r="L23" s="9" t="n">
        <f aca="false">0.34*L22</f>
        <v>59618382.3417612</v>
      </c>
      <c r="M23" s="9" t="n">
        <f aca="false">0.34*M22</f>
        <v>81774430.4852482</v>
      </c>
      <c r="N23" s="9" t="n">
        <f aca="false">0.34*N22</f>
        <v>106428445.541481</v>
      </c>
      <c r="O23" s="9" t="n">
        <f aca="false">0.34*O22</f>
        <v>138551676.660977</v>
      </c>
      <c r="P23" s="9" t="n">
        <f aca="false">0.34*P22</f>
        <v>180428695.590554</v>
      </c>
      <c r="Q23" s="9" t="n">
        <f aca="false">0.34*Q22</f>
        <v>235055729.757775</v>
      </c>
    </row>
    <row r="24" customFormat="false" ht="15.95" hidden="false" customHeight="true" outlineLevel="0" collapsed="false">
      <c r="B24" s="0" t="s">
        <v>45</v>
      </c>
      <c r="C24" s="11" t="n">
        <v>32256307</v>
      </c>
      <c r="D24" s="11" t="n">
        <v>33000751</v>
      </c>
      <c r="E24" s="11" t="n">
        <v>33000751</v>
      </c>
      <c r="F24" s="11"/>
      <c r="G24" s="2" t="s">
        <v>46</v>
      </c>
      <c r="H24" s="9" t="n">
        <f aca="false">H22-H23</f>
        <v>-8455256.8672</v>
      </c>
      <c r="I24" s="9" t="n">
        <f aca="false">I22-I23</f>
        <v>9519527.41935361</v>
      </c>
      <c r="J24" s="9" t="n">
        <f aca="false">J22-J23</f>
        <v>31572752.9945626</v>
      </c>
      <c r="K24" s="9" t="n">
        <f aca="false">K22-K23</f>
        <v>64751144.3673769</v>
      </c>
      <c r="L24" s="9" t="n">
        <f aca="false">L22-L23</f>
        <v>115729801.01636</v>
      </c>
      <c r="M24" s="9" t="n">
        <f aca="false">M22-M23</f>
        <v>158738600.353717</v>
      </c>
      <c r="N24" s="9" t="n">
        <f aca="false">N22-N23</f>
        <v>206596394.286403</v>
      </c>
      <c r="O24" s="9" t="n">
        <f aca="false">O22-O23</f>
        <v>268953254.694838</v>
      </c>
      <c r="P24" s="9" t="n">
        <f aca="false">P22-P23</f>
        <v>350243938.499311</v>
      </c>
      <c r="Q24" s="9" t="n">
        <f aca="false">Q22-Q23</f>
        <v>456284651.882739</v>
      </c>
    </row>
    <row r="25" customFormat="false" ht="12.75" hidden="false" customHeight="false" outlineLevel="0" collapsed="false">
      <c r="G25" s="19" t="s">
        <v>47</v>
      </c>
      <c r="H25" s="20" t="n">
        <f aca="false">($F$21*H8)*(1-0.34)</f>
        <v>271719.36</v>
      </c>
      <c r="I25" s="20" t="n">
        <f aca="false">($F$21*I8)*(1-0.34)</f>
        <v>434750.976</v>
      </c>
      <c r="J25" s="20" t="n">
        <f aca="false">($F$21*J8)*(1-0.34)</f>
        <v>695601.5616</v>
      </c>
      <c r="K25" s="20" t="n">
        <f aca="false">($F$21*K8)*(1-0.34)</f>
        <v>1112962.49856</v>
      </c>
      <c r="L25" s="20" t="n">
        <f aca="false">($F$21*L8)*(1-0.34)</f>
        <v>1780739.997696</v>
      </c>
      <c r="M25" s="20" t="n">
        <f aca="false">($F$21*M8)*(1-0.34)</f>
        <v>2314961.9970048</v>
      </c>
      <c r="N25" s="20" t="n">
        <f aca="false">($F$21*N8)*(1-0.34)</f>
        <v>3009450.59610624</v>
      </c>
      <c r="O25" s="20" t="n">
        <f aca="false">($F$21*O8)*(1-0.34)</f>
        <v>3912285.77493811</v>
      </c>
      <c r="P25" s="20" t="n">
        <f aca="false">($F$21*P8)*(1-0.34)</f>
        <v>5085971.50741955</v>
      </c>
      <c r="Q25" s="20" t="n">
        <f aca="false">($F$21*Q8)*(1-0.34)</f>
        <v>6611762.95964541</v>
      </c>
    </row>
    <row r="26" customFormat="false" ht="12.75" hidden="false" customHeight="false" outlineLevel="0" collapsed="false">
      <c r="G26" s="21" t="s">
        <v>48</v>
      </c>
      <c r="H26" s="22" t="n">
        <f aca="false">H24+H25</f>
        <v>-8183537.5072</v>
      </c>
      <c r="I26" s="22" t="n">
        <f aca="false">I24+I25</f>
        <v>9954278.39535361</v>
      </c>
      <c r="J26" s="22" t="n">
        <f aca="false">J24+J25</f>
        <v>32268354.5561626</v>
      </c>
      <c r="K26" s="22" t="n">
        <f aca="false">K24+K25</f>
        <v>65864106.8659369</v>
      </c>
      <c r="L26" s="22" t="n">
        <f aca="false">L24+L25</f>
        <v>117510541.014056</v>
      </c>
      <c r="M26" s="22" t="n">
        <f aca="false">M24+M25</f>
        <v>161053562.350722</v>
      </c>
      <c r="N26" s="22" t="n">
        <f aca="false">N24+N25</f>
        <v>209605844.88251</v>
      </c>
      <c r="O26" s="22" t="n">
        <f aca="false">O24+O25</f>
        <v>272865540.469776</v>
      </c>
      <c r="P26" s="22" t="n">
        <f aca="false">P24+P25</f>
        <v>355329910.006731</v>
      </c>
      <c r="Q26" s="22" t="n">
        <f aca="false">Q24+Q25</f>
        <v>462896414.842385</v>
      </c>
    </row>
    <row r="27" customFormat="false" ht="12.75" hidden="false" customHeight="false" outlineLevel="0" collapsed="false">
      <c r="G27" s="23" t="s">
        <v>49</v>
      </c>
      <c r="H27" s="22" t="n">
        <f aca="false">0.055*H8</f>
        <v>2926068.816</v>
      </c>
      <c r="I27" s="22" t="n">
        <f aca="false">0.055*I8</f>
        <v>4681710.1056</v>
      </c>
      <c r="J27" s="22" t="n">
        <f aca="false">0.055*J8</f>
        <v>7490736.16896</v>
      </c>
      <c r="K27" s="22" t="n">
        <f aca="false">0.055*K8</f>
        <v>11985177.870336</v>
      </c>
      <c r="L27" s="22" t="n">
        <f aca="false">0.055*L8</f>
        <v>19176284.5925376</v>
      </c>
      <c r="M27" s="22" t="n">
        <f aca="false">0.055*M8</f>
        <v>24929169.9702989</v>
      </c>
      <c r="N27" s="22" t="n">
        <f aca="false">0.055*N8</f>
        <v>32407920.9613886</v>
      </c>
      <c r="O27" s="22" t="n">
        <f aca="false">0.055*O8</f>
        <v>42130297.2498051</v>
      </c>
      <c r="P27" s="22" t="n">
        <f aca="false">0.055*P8</f>
        <v>54769386.4247467</v>
      </c>
      <c r="Q27" s="22" t="n">
        <f aca="false">0.055*Q8</f>
        <v>71200202.3521707</v>
      </c>
    </row>
    <row r="28" customFormat="false" ht="12.75" hidden="false" customHeight="false" outlineLevel="0" collapsed="false">
      <c r="G28" s="21" t="s">
        <v>50</v>
      </c>
      <c r="H28" s="22" t="n">
        <f aca="false">H26+H27</f>
        <v>-5257468.6912</v>
      </c>
      <c r="I28" s="22" t="n">
        <f aca="false">I26+I27</f>
        <v>14635988.5009536</v>
      </c>
      <c r="J28" s="22" t="n">
        <f aca="false">J26+J27</f>
        <v>39759090.7251226</v>
      </c>
      <c r="K28" s="22" t="n">
        <f aca="false">K26+K27</f>
        <v>77849284.7362729</v>
      </c>
      <c r="L28" s="22" t="n">
        <f aca="false">L26+L27</f>
        <v>136686825.606593</v>
      </c>
      <c r="M28" s="22" t="n">
        <f aca="false">M26+M27</f>
        <v>185982732.321021</v>
      </c>
      <c r="N28" s="22" t="n">
        <f aca="false">N26+N27</f>
        <v>242013765.843898</v>
      </c>
      <c r="O28" s="22" t="n">
        <f aca="false">O26+O27</f>
        <v>314995837.719581</v>
      </c>
      <c r="P28" s="22" t="n">
        <f aca="false">P26+P27</f>
        <v>410099296.431477</v>
      </c>
      <c r="Q28" s="22" t="n">
        <f aca="false">Q26+Q27</f>
        <v>534096617.194555</v>
      </c>
    </row>
    <row r="29" customFormat="false" ht="12.75" hidden="false" customHeight="false" outlineLevel="0" collapsed="false">
      <c r="G29" s="23" t="s">
        <v>51</v>
      </c>
      <c r="H29" s="22" t="n">
        <f aca="false">H8*H37</f>
        <v>21262766.7296</v>
      </c>
      <c r="I29" s="22" t="n">
        <f aca="false">I8*I37</f>
        <v>29054976.65536</v>
      </c>
      <c r="J29" s="22" t="n">
        <f aca="false">J8*J37</f>
        <v>38543242.469376</v>
      </c>
      <c r="K29" s="22" t="n">
        <f aca="false">K8*K37</f>
        <v>48957635.6642816</v>
      </c>
      <c r="L29" s="22" t="n">
        <f aca="false">L8*L37</f>
        <v>57993733.4040986</v>
      </c>
      <c r="M29" s="22" t="n">
        <f aca="false">M8*M37</f>
        <v>48951824.6689505</v>
      </c>
      <c r="N29" s="22" t="n">
        <f aca="false">N8*N37</f>
        <v>63637372.0696357</v>
      </c>
      <c r="O29" s="22" t="n">
        <f aca="false">O8*O37</f>
        <v>82728583.6905264</v>
      </c>
      <c r="P29" s="22" t="n">
        <f aca="false">P8*P37</f>
        <v>107547158.797684</v>
      </c>
      <c r="Q29" s="22" t="n">
        <f aca="false">Q8*Q37</f>
        <v>139811306.43699</v>
      </c>
    </row>
    <row r="30" customFormat="false" ht="12.75" hidden="false" customHeight="false" outlineLevel="0" collapsed="false">
      <c r="G30" s="21" t="s">
        <v>52</v>
      </c>
      <c r="H30" s="22" t="n">
        <f aca="false">H28-H29</f>
        <v>-26520235.4208</v>
      </c>
      <c r="I30" s="22" t="n">
        <f aca="false">I28-I29</f>
        <v>-14418988.1544064</v>
      </c>
      <c r="J30" s="22" t="n">
        <f aca="false">J28-J29</f>
        <v>1215848.25574657</v>
      </c>
      <c r="K30" s="22" t="n">
        <f aca="false">K28-K29</f>
        <v>28891649.0719913</v>
      </c>
      <c r="L30" s="22" t="n">
        <f aca="false">L28-L29</f>
        <v>78693092.2024949</v>
      </c>
      <c r="M30" s="22" t="n">
        <f aca="false">M28-M29</f>
        <v>137030907.65207</v>
      </c>
      <c r="N30" s="22" t="n">
        <f aca="false">N28-N29</f>
        <v>178376393.774262</v>
      </c>
      <c r="O30" s="22" t="n">
        <f aca="false">O28-O29</f>
        <v>232267254.029055</v>
      </c>
      <c r="P30" s="22" t="n">
        <f aca="false">P28-P29</f>
        <v>302552137.633793</v>
      </c>
      <c r="Q30" s="22" t="n">
        <f aca="false">Q28-Q29</f>
        <v>394285310.757566</v>
      </c>
    </row>
    <row r="31" customFormat="false" ht="12.75" hidden="false" customHeight="false" outlineLevel="0" collapsed="false">
      <c r="G31" s="21" t="s">
        <v>53</v>
      </c>
      <c r="H31" s="24" t="n">
        <f aca="false">NPV(M$2,H$30:L$30)</f>
        <v>26512473.3313747</v>
      </c>
      <c r="I31" s="22"/>
      <c r="J31" s="22"/>
      <c r="K31" s="22"/>
      <c r="L31" s="22"/>
      <c r="M31" s="22"/>
      <c r="N31" s="22"/>
      <c r="O31" s="22"/>
      <c r="P31" s="22"/>
      <c r="Q31" s="22"/>
    </row>
    <row r="32" customFormat="false" ht="12.75" hidden="false" customHeight="false" outlineLevel="0" collapsed="false">
      <c r="G32" s="21" t="s">
        <v>54</v>
      </c>
      <c r="H32" s="22" t="n">
        <f aca="false">(Q30/M2)/1.13^10</f>
        <v>893475833.742056</v>
      </c>
      <c r="I32" s="25"/>
      <c r="J32" s="25"/>
      <c r="K32" s="25"/>
      <c r="L32" s="25"/>
      <c r="M32" s="25"/>
      <c r="N32" s="25"/>
      <c r="O32" s="25"/>
      <c r="P32" s="25"/>
      <c r="Q32" s="25"/>
    </row>
    <row r="33" customFormat="false" ht="12.75" hidden="false" customHeight="false" outlineLevel="0" collapsed="false">
      <c r="G33" s="26" t="s">
        <v>55</v>
      </c>
      <c r="H33" s="22" t="n">
        <f aca="false">H31+H32</f>
        <v>919988307.073431</v>
      </c>
      <c r="I33" s="22"/>
      <c r="J33" s="22"/>
      <c r="K33" s="22"/>
      <c r="L33" s="22"/>
      <c r="M33" s="22"/>
      <c r="N33" s="22"/>
      <c r="O33" s="22"/>
      <c r="P33" s="22"/>
      <c r="Q33" s="22"/>
    </row>
    <row r="34" customFormat="false" ht="12.75" hidden="false" customHeight="false" outlineLevel="0" collapsed="false">
      <c r="G34" s="23" t="s">
        <v>56</v>
      </c>
      <c r="H34" s="27" t="n">
        <f aca="false">E24</f>
        <v>33000751</v>
      </c>
      <c r="I34" s="22"/>
      <c r="J34" s="22"/>
      <c r="K34" s="22"/>
      <c r="L34" s="22"/>
      <c r="M34" s="22"/>
      <c r="N34" s="22"/>
      <c r="O34" s="22"/>
      <c r="P34" s="22"/>
      <c r="Q34" s="22"/>
    </row>
    <row r="35" customFormat="false" ht="12.75" hidden="false" customHeight="false" outlineLevel="0" collapsed="false">
      <c r="G35" s="28" t="s">
        <v>57</v>
      </c>
      <c r="H35" s="29" t="n">
        <f aca="false">H33/H34</f>
        <v>27.8777991165544</v>
      </c>
      <c r="I35" s="22"/>
      <c r="J35" s="22"/>
      <c r="K35" s="22"/>
      <c r="L35" s="22"/>
      <c r="M35" s="22"/>
      <c r="N35" s="22"/>
      <c r="O35" s="22"/>
      <c r="P35" s="22"/>
      <c r="Q35" s="22"/>
    </row>
    <row r="36" customFormat="false" ht="12.75" hidden="false" customHeight="false" outlineLevel="0" collapsed="false"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customFormat="false" ht="12.75" hidden="false" customHeight="false" outlineLevel="0" collapsed="false">
      <c r="G37" s="6" t="n">
        <v>0.458</v>
      </c>
      <c r="H37" s="6" t="n">
        <f aca="false">G37-$G$38</f>
        <v>0.399666666666667</v>
      </c>
      <c r="I37" s="6" t="n">
        <f aca="false">H37-$G$38</f>
        <v>0.341333333333333</v>
      </c>
      <c r="J37" s="6" t="n">
        <f aca="false">I37-$G$38</f>
        <v>0.283</v>
      </c>
      <c r="K37" s="6" t="n">
        <f aca="false">J37-$G$38</f>
        <v>0.224666666666667</v>
      </c>
      <c r="L37" s="6" t="n">
        <f aca="false">K37-$G$38</f>
        <v>0.166333333333333</v>
      </c>
      <c r="M37" s="6" t="n">
        <f aca="false">L37-$G$38</f>
        <v>0.108</v>
      </c>
      <c r="N37" s="6" t="n">
        <v>0.108</v>
      </c>
      <c r="O37" s="6" t="n">
        <v>0.108</v>
      </c>
      <c r="P37" s="6" t="n">
        <v>0.108</v>
      </c>
      <c r="Q37" s="6" t="n">
        <v>0.108</v>
      </c>
    </row>
    <row r="38" customFormat="false" ht="12.75" hidden="false" customHeight="false" outlineLevel="0" collapsed="false">
      <c r="G38" s="6" t="n">
        <f aca="false">(0.458-0.108)/6</f>
        <v>0.0583333333333333</v>
      </c>
      <c r="H38" s="30"/>
      <c r="I38" s="30"/>
      <c r="J38" s="30"/>
      <c r="K38" s="30"/>
      <c r="L38" s="30"/>
      <c r="M38" s="30"/>
      <c r="N38" s="30"/>
    </row>
    <row r="40" customFormat="false" ht="12.75" hidden="false" customHeight="false" outlineLevel="0" collapsed="false">
      <c r="G40" s="2" t="s">
        <v>58</v>
      </c>
      <c r="H40" s="18" t="n">
        <f aca="false">H24/$E$24</f>
        <v>-0.256214074255462</v>
      </c>
      <c r="I40" s="18" t="n">
        <f aca="false">I24/$E$24</f>
        <v>0.288463963118706</v>
      </c>
      <c r="J40" s="18" t="n">
        <f aca="false">J24/$E$24</f>
        <v>0.956728317927146</v>
      </c>
      <c r="K40" s="18" t="n">
        <f aca="false">K24/$E$24</f>
        <v>1.96211123702539</v>
      </c>
      <c r="L40" s="18" t="n">
        <f aca="false">L24/$E$24</f>
        <v>3.50688385898733</v>
      </c>
      <c r="M40" s="18" t="n">
        <f aca="false">M24/$E$24</f>
        <v>4.81015114940012</v>
      </c>
      <c r="N40" s="18" t="n">
        <f aca="false">N24/$E$24</f>
        <v>6.26035432606983</v>
      </c>
      <c r="O40" s="18" t="n">
        <f aca="false">O24/$E$24</f>
        <v>8.14991315485026</v>
      </c>
      <c r="P40" s="18" t="n">
        <f aca="false">P24/$E$24</f>
        <v>10.6132111508405</v>
      </c>
      <c r="Q40" s="18" t="n">
        <f aca="false">Q24/$E$24</f>
        <v>13.8264929753489</v>
      </c>
    </row>
    <row r="44" customFormat="false" ht="12.75" hidden="false" customHeight="false" outlineLevel="0" collapsed="false">
      <c r="H44" s="0" t="n">
        <v>1</v>
      </c>
      <c r="I44" s="0" t="n">
        <v>2</v>
      </c>
      <c r="J44" s="0" t="n">
        <v>3</v>
      </c>
      <c r="K44" s="0" t="n">
        <v>4</v>
      </c>
      <c r="L44" s="0" t="n">
        <v>5</v>
      </c>
      <c r="M44" s="0" t="n">
        <v>6</v>
      </c>
      <c r="N44" s="0" t="n">
        <v>7</v>
      </c>
      <c r="O44" s="0" t="n">
        <v>8</v>
      </c>
      <c r="P44" s="0" t="n">
        <v>9</v>
      </c>
      <c r="Q44" s="0" t="n">
        <v>10</v>
      </c>
    </row>
    <row r="46" customFormat="false" ht="12.75" hidden="false" customHeight="false" outlineLevel="0" collapsed="false">
      <c r="H46" s="0" t="n">
        <f aca="false">H40/(1.067^H44)</f>
        <v>-0.240125655347199</v>
      </c>
      <c r="I46" s="0" t="n">
        <f aca="false">I40/(1.067^I44)</f>
        <v>0.253374396343492</v>
      </c>
      <c r="J46" s="0" t="n">
        <f aca="false">J40/(1.067^J44)</f>
        <v>0.7875812538558</v>
      </c>
      <c r="K46" s="0" t="n">
        <f aca="false">K40/(1.067^K44)</f>
        <v>1.51379109902784</v>
      </c>
      <c r="L46" s="0" t="n">
        <f aca="false">L40/(1.067^L44)</f>
        <v>2.53570826399037</v>
      </c>
      <c r="M46" s="0" t="n">
        <f aca="false">M40/(1.067^M44)</f>
        <v>3.25965927712783</v>
      </c>
      <c r="N46" s="0" t="n">
        <f aca="false">N40/(1.067^N44)</f>
        <v>3.9760146718136</v>
      </c>
      <c r="O46" s="0" t="n">
        <f aca="false">O40/(1.067^O44)</f>
        <v>4.85107093925978</v>
      </c>
      <c r="P46" s="0" t="n">
        <f aca="false">P40/(1.067^P44)</f>
        <v>5.92061784521349</v>
      </c>
      <c r="Q46" s="0" t="n">
        <f aca="false">Q40/(1.067^Q44)</f>
        <v>7.22882719532974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34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1" activeCellId="0" sqref="H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79.56"/>
    <col collapsed="false" customWidth="true" hidden="false" outlineLevel="0" max="3" min="3" style="0" width="21.7"/>
    <col collapsed="false" customWidth="true" hidden="false" outlineLevel="0" max="4" min="4" style="0" width="20.28"/>
  </cols>
  <sheetData>
    <row r="2" customFormat="false" ht="12.75" hidden="false" customHeight="false" outlineLevel="0" collapsed="false">
      <c r="B2" s="2" t="s">
        <v>59</v>
      </c>
    </row>
    <row r="3" customFormat="false" ht="12.75" hidden="false" customHeight="false" outlineLevel="0" collapsed="false">
      <c r="B3" s="2"/>
    </row>
    <row r="4" customFormat="false" ht="12.75" hidden="false" customHeight="false" outlineLevel="0" collapsed="false">
      <c r="C4" s="31" t="s">
        <v>60</v>
      </c>
      <c r="D4" s="31" t="s">
        <v>61</v>
      </c>
    </row>
    <row r="5" customFormat="false" ht="15.95" hidden="false" customHeight="true" outlineLevel="0" collapsed="false">
      <c r="B5" s="2" t="s">
        <v>62</v>
      </c>
    </row>
    <row r="6" customFormat="false" ht="20.1" hidden="false" customHeight="true" outlineLevel="0" collapsed="false">
      <c r="B6" s="0" t="s">
        <v>63</v>
      </c>
      <c r="C6" s="8" t="n">
        <v>3243510</v>
      </c>
      <c r="D6" s="8" t="n">
        <v>8868436</v>
      </c>
    </row>
    <row r="7" customFormat="false" ht="17.1" hidden="false" customHeight="true" outlineLevel="0" collapsed="false">
      <c r="B7" s="0" t="s">
        <v>64</v>
      </c>
      <c r="C7" s="12" t="s">
        <v>65</v>
      </c>
      <c r="D7" s="11" t="n">
        <v>16567300</v>
      </c>
    </row>
    <row r="8" customFormat="false" ht="17.1" hidden="false" customHeight="true" outlineLevel="0" collapsed="false">
      <c r="B8" s="0" t="s">
        <v>66</v>
      </c>
      <c r="C8" s="11" t="n">
        <v>701649</v>
      </c>
      <c r="D8" s="11" t="n">
        <v>8277869</v>
      </c>
    </row>
    <row r="9" customFormat="false" ht="17.1" hidden="false" customHeight="true" outlineLevel="0" collapsed="false">
      <c r="B9" s="0" t="s">
        <v>67</v>
      </c>
      <c r="C9" s="10" t="n">
        <v>67284</v>
      </c>
      <c r="D9" s="10" t="n">
        <v>804971</v>
      </c>
    </row>
    <row r="10" customFormat="false" ht="18" hidden="false" customHeight="true" outlineLevel="0" collapsed="false">
      <c r="B10" s="0" t="s">
        <v>68</v>
      </c>
      <c r="C10" s="11" t="n">
        <f aca="false">SUM(C6:C9)</f>
        <v>4012443</v>
      </c>
      <c r="D10" s="11" t="n">
        <f aca="false">SUM(D6:D9)</f>
        <v>34518576</v>
      </c>
    </row>
    <row r="11" customFormat="false" ht="18" hidden="false" customHeight="true" outlineLevel="0" collapsed="false">
      <c r="B11" s="0" t="s">
        <v>69</v>
      </c>
      <c r="C11" s="11" t="n">
        <v>2447098</v>
      </c>
      <c r="D11" s="11" t="n">
        <v>6761045</v>
      </c>
    </row>
    <row r="12" customFormat="false" ht="18" hidden="false" customHeight="true" outlineLevel="0" collapsed="false">
      <c r="B12" s="0" t="s">
        <v>70</v>
      </c>
      <c r="C12" s="10" t="n">
        <v>699100</v>
      </c>
      <c r="D12" s="10" t="n">
        <v>1251582</v>
      </c>
    </row>
    <row r="13" customFormat="false" ht="20.1" hidden="false" customHeight="true" outlineLevel="0" collapsed="false">
      <c r="B13" s="0" t="s">
        <v>71</v>
      </c>
      <c r="C13" s="32" t="n">
        <f aca="false">SUM(C10:C12)</f>
        <v>7158641</v>
      </c>
      <c r="D13" s="32" t="n">
        <f aca="false">SUM(D10:D12)</f>
        <v>42531203</v>
      </c>
    </row>
    <row r="14" customFormat="false" ht="13.5" hidden="false" customHeight="false" outlineLevel="0" collapsed="false">
      <c r="B14" s="2" t="s">
        <v>72</v>
      </c>
      <c r="C14" s="12"/>
      <c r="D14" s="12"/>
    </row>
    <row r="15" customFormat="false" ht="18" hidden="false" customHeight="true" outlineLevel="0" collapsed="false">
      <c r="B15" s="0" t="s">
        <v>73</v>
      </c>
      <c r="C15" s="8" t="n">
        <v>855068</v>
      </c>
      <c r="D15" s="8" t="n">
        <v>4607174</v>
      </c>
    </row>
    <row r="16" customFormat="false" ht="17.1" hidden="false" customHeight="true" outlineLevel="0" collapsed="false">
      <c r="B16" s="0" t="s">
        <v>74</v>
      </c>
      <c r="C16" s="11" t="n">
        <v>527340</v>
      </c>
      <c r="D16" s="11" t="n">
        <v>1075066</v>
      </c>
    </row>
    <row r="17" customFormat="false" ht="15.95" hidden="false" customHeight="true" outlineLevel="0" collapsed="false">
      <c r="B17" s="0" t="s">
        <v>75</v>
      </c>
      <c r="C17" s="11" t="n">
        <v>667503</v>
      </c>
      <c r="D17" s="11" t="n">
        <v>1897819</v>
      </c>
    </row>
    <row r="18" customFormat="false" ht="17.1" hidden="false" customHeight="true" outlineLevel="0" collapsed="false">
      <c r="B18" s="0" t="s">
        <v>76</v>
      </c>
      <c r="C18" s="11" t="n">
        <v>2575145</v>
      </c>
      <c r="D18" s="11" t="n">
        <v>14963843</v>
      </c>
    </row>
    <row r="19" customFormat="false" ht="17.1" hidden="false" customHeight="true" outlineLevel="0" collapsed="false">
      <c r="B19" s="0" t="s">
        <v>77</v>
      </c>
      <c r="C19" s="11" t="n">
        <v>725000</v>
      </c>
      <c r="D19" s="11" t="n">
        <v>725000</v>
      </c>
    </row>
    <row r="20" customFormat="false" ht="17.1" hidden="false" customHeight="true" outlineLevel="0" collapsed="false">
      <c r="B20" s="0" t="s">
        <v>78</v>
      </c>
      <c r="C20" s="15" t="s">
        <v>65</v>
      </c>
      <c r="D20" s="10" t="n">
        <v>551449</v>
      </c>
    </row>
    <row r="21" customFormat="false" ht="17.1" hidden="false" customHeight="true" outlineLevel="0" collapsed="false">
      <c r="B21" s="0" t="s">
        <v>79</v>
      </c>
      <c r="C21" s="11" t="n">
        <f aca="false">SUM(C15:C20)</f>
        <v>5350056</v>
      </c>
      <c r="D21" s="11" t="n">
        <f aca="false">SUM(D15:D20)</f>
        <v>23820351</v>
      </c>
    </row>
    <row r="22" customFormat="false" ht="17.1" hidden="false" customHeight="true" outlineLevel="0" collapsed="false">
      <c r="B22" s="0" t="s">
        <v>80</v>
      </c>
      <c r="C22" s="11" t="n">
        <v>725000</v>
      </c>
      <c r="D22" s="11" t="n">
        <v>725000</v>
      </c>
    </row>
    <row r="23" customFormat="false" ht="17.1" hidden="false" customHeight="true" outlineLevel="0" collapsed="false">
      <c r="B23" s="0" t="s">
        <v>78</v>
      </c>
      <c r="C23" s="15" t="s">
        <v>65</v>
      </c>
      <c r="D23" s="10" t="n">
        <v>1511331</v>
      </c>
    </row>
    <row r="24" customFormat="false" ht="18" hidden="false" customHeight="true" outlineLevel="0" collapsed="false">
      <c r="B24" s="0" t="s">
        <v>81</v>
      </c>
      <c r="C24" s="11" t="n">
        <f aca="false">SUM(C21:C23)</f>
        <v>6075056</v>
      </c>
      <c r="D24" s="11" t="n">
        <f aca="false">SUM(D21:D23)</f>
        <v>26056682</v>
      </c>
    </row>
    <row r="25" customFormat="false" ht="24.95" hidden="false" customHeight="true" outlineLevel="0" collapsed="false">
      <c r="B25" s="0" t="s">
        <v>82</v>
      </c>
      <c r="C25" s="12" t="n">
        <v>701</v>
      </c>
      <c r="D25" s="12" t="n">
        <v>901</v>
      </c>
    </row>
    <row r="26" customFormat="false" ht="17.1" hidden="false" customHeight="true" outlineLevel="0" collapsed="false">
      <c r="B26" s="0" t="s">
        <v>83</v>
      </c>
      <c r="C26" s="12" t="n">
        <v>451</v>
      </c>
      <c r="D26" s="11" t="n">
        <v>1514</v>
      </c>
    </row>
    <row r="27" customFormat="false" ht="17.1" hidden="false" customHeight="true" outlineLevel="0" collapsed="false">
      <c r="B27" s="0" t="s">
        <v>84</v>
      </c>
      <c r="C27" s="11" t="n">
        <v>9552278</v>
      </c>
      <c r="D27" s="11" t="n">
        <v>39683666</v>
      </c>
    </row>
    <row r="28" customFormat="false" ht="18" hidden="false" customHeight="true" outlineLevel="0" collapsed="false">
      <c r="B28" s="0" t="s">
        <v>85</v>
      </c>
      <c r="C28" s="12" t="s">
        <v>65</v>
      </c>
      <c r="D28" s="33" t="n">
        <v>-638065</v>
      </c>
    </row>
    <row r="29" customFormat="false" ht="18.95" hidden="false" customHeight="true" outlineLevel="0" collapsed="false">
      <c r="B29" s="0" t="s">
        <v>86</v>
      </c>
      <c r="C29" s="12" t="s">
        <v>65</v>
      </c>
      <c r="D29" s="33" t="n">
        <v>-9812151</v>
      </c>
    </row>
    <row r="30" customFormat="false" ht="18" hidden="false" customHeight="true" outlineLevel="0" collapsed="false">
      <c r="B30" s="0" t="s">
        <v>87</v>
      </c>
      <c r="C30" s="33" t="n">
        <v>-8469845</v>
      </c>
      <c r="D30" s="33" t="n">
        <v>-12777561</v>
      </c>
    </row>
    <row r="31" customFormat="false" ht="17.1" hidden="false" customHeight="true" outlineLevel="0" collapsed="false">
      <c r="B31" s="0" t="s">
        <v>88</v>
      </c>
      <c r="C31" s="15" t="s">
        <v>65</v>
      </c>
      <c r="D31" s="10" t="n">
        <v>16217</v>
      </c>
    </row>
    <row r="32" customFormat="false" ht="15.95" hidden="false" customHeight="true" outlineLevel="0" collapsed="false">
      <c r="B32" s="0" t="s">
        <v>89</v>
      </c>
      <c r="C32" s="10" t="n">
        <f aca="false">SUM(C25:C31)</f>
        <v>1083585</v>
      </c>
      <c r="D32" s="10" t="n">
        <f aca="false">SUM(D25:D31)</f>
        <v>16474521</v>
      </c>
    </row>
    <row r="33" customFormat="false" ht="21.95" hidden="false" customHeight="true" outlineLevel="0" collapsed="false">
      <c r="B33" s="0" t="s">
        <v>90</v>
      </c>
      <c r="C33" s="32" t="n">
        <v>7158641</v>
      </c>
      <c r="D33" s="32" t="n">
        <v>42531203</v>
      </c>
    </row>
    <row r="3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9.99"/>
    <col collapsed="false" customWidth="true" hidden="false" outlineLevel="0" max="3" min="3" style="0" width="11.28"/>
    <col collapsed="false" customWidth="true" hidden="false" outlineLevel="0" max="4" min="4" style="0" width="13.85"/>
  </cols>
  <sheetData>
    <row r="2" customFormat="false" ht="12.75" hidden="false" customHeight="false" outlineLevel="0" collapsed="false">
      <c r="B2" s="2" t="s">
        <v>91</v>
      </c>
    </row>
    <row r="3" customFormat="false" ht="41.1" hidden="false" customHeight="true" outlineLevel="0" collapsed="false">
      <c r="C3" s="34" t="s">
        <v>92</v>
      </c>
      <c r="E3" s="35" t="s">
        <v>93</v>
      </c>
      <c r="F3" s="35" t="s">
        <v>94</v>
      </c>
      <c r="G3" s="35" t="s">
        <v>95</v>
      </c>
    </row>
    <row r="4" customFormat="false" ht="20.1" hidden="false" customHeight="true" outlineLevel="0" collapsed="false">
      <c r="B4" s="0" t="s">
        <v>96</v>
      </c>
      <c r="C4" s="33" t="n">
        <v>17321</v>
      </c>
      <c r="E4" s="33" t="n">
        <v>394290</v>
      </c>
      <c r="F4" s="33" t="n">
        <v>5937000</v>
      </c>
      <c r="G4" s="33" t="n">
        <v>9084</v>
      </c>
    </row>
    <row r="5" customFormat="false" ht="12.75" hidden="false" customHeight="false" outlineLevel="0" collapsed="false">
      <c r="B5" s="0" t="s">
        <v>97</v>
      </c>
      <c r="C5" s="33" t="n">
        <v>30521</v>
      </c>
      <c r="E5" s="33" t="n">
        <v>413584</v>
      </c>
      <c r="F5" s="33" t="n">
        <v>3899000</v>
      </c>
      <c r="G5" s="33" t="n">
        <v>6745</v>
      </c>
    </row>
    <row r="6" customFormat="false" ht="12.75" hidden="false" customHeight="false" outlineLevel="0" collapsed="false">
      <c r="B6" s="0" t="s">
        <v>98</v>
      </c>
      <c r="C6" s="33" t="n">
        <f aca="false">SUM(C4-C5)</f>
        <v>-13200</v>
      </c>
      <c r="E6" s="33" t="n">
        <f aca="false">SUM(E4-E5)</f>
        <v>-19294</v>
      </c>
      <c r="F6" s="33" t="n">
        <f aca="false">SUM(F4-F5)</f>
        <v>2038000</v>
      </c>
      <c r="G6" s="33" t="n">
        <f aca="false">SUM(G4-G5)</f>
        <v>2339</v>
      </c>
    </row>
    <row r="7" customFormat="false" ht="12.75" hidden="false" customHeight="false" outlineLevel="0" collapsed="false">
      <c r="B7" s="0" t="s">
        <v>39</v>
      </c>
      <c r="C7" s="33" t="n">
        <v>-129</v>
      </c>
      <c r="E7" s="33" t="s">
        <v>65</v>
      </c>
      <c r="F7" s="33" t="s">
        <v>65</v>
      </c>
      <c r="G7" s="33" t="s">
        <v>65</v>
      </c>
    </row>
    <row r="8" customFormat="false" ht="12.75" hidden="false" customHeight="false" outlineLevel="0" collapsed="false">
      <c r="B8" s="0" t="s">
        <v>99</v>
      </c>
      <c r="C8" s="33" t="n">
        <v>12778</v>
      </c>
      <c r="E8" s="33" t="n">
        <v>-33647</v>
      </c>
      <c r="F8" s="33" t="n">
        <v>1453000</v>
      </c>
      <c r="G8" s="33" t="n">
        <v>1509</v>
      </c>
    </row>
    <row r="9" customFormat="false" ht="23.1" hidden="false" customHeight="true" outlineLevel="0" collapsed="false">
      <c r="B9" s="0" t="s">
        <v>100</v>
      </c>
      <c r="C9" s="33" t="n">
        <v>-0.39</v>
      </c>
      <c r="E9" s="36" t="n">
        <v>-0.99</v>
      </c>
      <c r="F9" s="33" t="n">
        <v>2.32</v>
      </c>
      <c r="G9" s="33" t="n">
        <v>0.41</v>
      </c>
    </row>
    <row r="10" customFormat="false" ht="12.75" hidden="false" customHeight="false" outlineLevel="0" collapsed="false">
      <c r="B10" s="0" t="s">
        <v>101</v>
      </c>
      <c r="C10" s="33" t="n">
        <v>33001</v>
      </c>
      <c r="E10" s="33" t="n">
        <v>33986</v>
      </c>
      <c r="F10" s="33" t="n">
        <v>627000</v>
      </c>
      <c r="G10" s="33" t="n">
        <v>3788</v>
      </c>
    </row>
    <row r="11" customFormat="false" ht="30" hidden="false" customHeight="true" outlineLevel="0" collapsed="false">
      <c r="B11" s="0" t="s">
        <v>102</v>
      </c>
      <c r="C11" s="33" t="n">
        <v>7618</v>
      </c>
      <c r="D11" s="37" t="n">
        <f aca="false">(C11*1000)/'Exhibit 1'!E5</f>
        <v>0.244476054247625</v>
      </c>
      <c r="E11" s="33" t="n">
        <v>57751</v>
      </c>
      <c r="F11" s="33" t="n">
        <v>495000</v>
      </c>
      <c r="G11" s="33" t="n">
        <v>824609</v>
      </c>
    </row>
    <row r="12" customFormat="false" ht="12.75" hidden="false" customHeight="false" outlineLevel="0" collapsed="false">
      <c r="B12" s="0" t="s">
        <v>103</v>
      </c>
      <c r="C12" s="33" t="n">
        <v>918</v>
      </c>
      <c r="E12" s="33" t="n">
        <v>11136</v>
      </c>
      <c r="F12" s="33" t="n">
        <v>269000</v>
      </c>
      <c r="G12" s="33" t="n">
        <v>161303</v>
      </c>
    </row>
    <row r="13" customFormat="false" ht="24.95" hidden="false" customHeight="true" outlineLevel="0" collapsed="false">
      <c r="B13" s="0" t="s">
        <v>104</v>
      </c>
      <c r="C13" s="33" t="n">
        <v>34519</v>
      </c>
      <c r="E13" s="33" t="n">
        <v>132856</v>
      </c>
      <c r="F13" s="33" t="n">
        <v>5620000</v>
      </c>
      <c r="G13" s="33" t="n">
        <v>37372</v>
      </c>
    </row>
    <row r="14" customFormat="false" ht="12.75" hidden="false" customHeight="false" outlineLevel="0" collapsed="false">
      <c r="B14" s="0" t="s">
        <v>105</v>
      </c>
      <c r="C14" s="33" t="n">
        <v>25436</v>
      </c>
      <c r="E14" s="33" t="n">
        <v>64050</v>
      </c>
      <c r="F14" s="33" t="n">
        <v>4750000</v>
      </c>
      <c r="G14" s="33" t="n">
        <v>34556</v>
      </c>
    </row>
    <row r="15" customFormat="false" ht="12.75" hidden="false" customHeight="false" outlineLevel="0" collapsed="false">
      <c r="B15" s="0" t="s">
        <v>106</v>
      </c>
      <c r="C15" s="33" t="n">
        <v>42531</v>
      </c>
      <c r="E15" s="33" t="n">
        <v>406464</v>
      </c>
      <c r="F15" s="33" t="n">
        <v>7210000</v>
      </c>
      <c r="G15" s="33" t="n">
        <v>39963</v>
      </c>
    </row>
    <row r="16" customFormat="false" ht="12.75" hidden="false" customHeight="false" outlineLevel="0" collapsed="false">
      <c r="B16" s="0" t="s">
        <v>107</v>
      </c>
      <c r="C16" s="33" t="n">
        <v>23820</v>
      </c>
      <c r="E16" s="33" t="n">
        <v>133312</v>
      </c>
      <c r="F16" s="33" t="n">
        <v>1347000</v>
      </c>
      <c r="G16" s="33" t="n">
        <v>2718</v>
      </c>
    </row>
    <row r="17" customFormat="false" ht="12.75" hidden="false" customHeight="false" outlineLevel="0" collapsed="false">
      <c r="B17" s="0" t="s">
        <v>108</v>
      </c>
      <c r="C17" s="33" t="n">
        <v>26057</v>
      </c>
      <c r="E17" s="33" t="n">
        <v>188520</v>
      </c>
      <c r="F17" s="33" t="n">
        <v>1877000</v>
      </c>
      <c r="G17" s="33" t="n">
        <v>4368</v>
      </c>
    </row>
    <row r="18" customFormat="false" ht="12.75" hidden="false" customHeight="false" outlineLevel="0" collapsed="false">
      <c r="B18" s="0" t="s">
        <v>109</v>
      </c>
      <c r="C18" s="33" t="n">
        <v>16475</v>
      </c>
      <c r="E18" s="33" t="n">
        <v>217944</v>
      </c>
      <c r="F18" s="33" t="n">
        <v>5333000</v>
      </c>
      <c r="G18" s="33" t="n">
        <v>35595</v>
      </c>
    </row>
    <row r="19" customFormat="false" ht="21.95" hidden="false" customHeight="true" outlineLevel="0" collapsed="false">
      <c r="B19" s="0" t="s">
        <v>110</v>
      </c>
      <c r="C19" s="33" t="n">
        <v>1.45</v>
      </c>
      <c r="E19" s="33" t="n">
        <v>1</v>
      </c>
      <c r="F19" s="33" t="n">
        <v>4.17</v>
      </c>
      <c r="G19" s="33" t="n">
        <v>13.75</v>
      </c>
    </row>
    <row r="20" customFormat="false" ht="12.75" hidden="false" customHeight="false" outlineLevel="0" collapsed="false">
      <c r="B20" s="0" t="s">
        <v>111</v>
      </c>
      <c r="C20" s="33" t="n">
        <v>0.18</v>
      </c>
      <c r="E20" s="33" t="n">
        <v>0.08</v>
      </c>
      <c r="F20" s="33" t="s">
        <v>65</v>
      </c>
      <c r="G20" s="33" t="s">
        <v>65</v>
      </c>
    </row>
    <row r="21" customFormat="false" ht="26.1" hidden="false" customHeight="true" outlineLevel="0" collapsed="false">
      <c r="B21" s="0" t="s">
        <v>112</v>
      </c>
      <c r="C21" s="33" t="s">
        <v>113</v>
      </c>
      <c r="E21" s="33" t="n">
        <v>22</v>
      </c>
      <c r="F21" s="33" t="n">
        <v>90.38</v>
      </c>
      <c r="G21" s="33" t="n">
        <v>14.31</v>
      </c>
    </row>
    <row r="22" customFormat="false" ht="12.75" hidden="false" customHeight="false" outlineLevel="0" collapsed="false">
      <c r="B22" s="0" t="s">
        <v>114</v>
      </c>
      <c r="C22" s="33" t="s">
        <v>113</v>
      </c>
      <c r="E22" s="33" t="s">
        <v>113</v>
      </c>
      <c r="F22" s="33" t="n">
        <v>39</v>
      </c>
      <c r="G22" s="33" t="n">
        <v>34.9</v>
      </c>
    </row>
    <row r="23" customFormat="false" ht="21" hidden="false" customHeight="true" outlineLevel="0" collapsed="false">
      <c r="B23" s="0" t="s">
        <v>115</v>
      </c>
      <c r="C23" s="33" t="s">
        <v>113</v>
      </c>
      <c r="E23" s="33" t="n">
        <v>0.73</v>
      </c>
      <c r="F23" s="33" t="n">
        <v>0.72</v>
      </c>
      <c r="G23" s="33" t="s">
        <v>113</v>
      </c>
    </row>
    <row r="24" customFormat="false" ht="29.1" hidden="false" customHeight="true" outlineLevel="0" collapsed="false">
      <c r="B24" s="0" t="s">
        <v>116</v>
      </c>
    </row>
    <row r="25" customFormat="false" ht="12.75" hidden="false" customHeight="false" outlineLevel="0" collapsed="false">
      <c r="B25" s="0" t="s">
        <v>117</v>
      </c>
    </row>
    <row r="27" customFormat="false" ht="12.75" hidden="false" customHeight="false" outlineLevel="0" collapsed="false">
      <c r="B27" s="0" t="s">
        <v>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3" min="3" style="0" width="19.41"/>
    <col collapsed="false" customWidth="true" hidden="false" outlineLevel="0" max="4" min="4" style="0" width="5.85"/>
  </cols>
  <sheetData>
    <row r="2" customFormat="false" ht="12.75" hidden="false" customHeight="false" outlineLevel="0" collapsed="false">
      <c r="B2" s="2" t="s">
        <v>119</v>
      </c>
    </row>
    <row r="3" customFormat="false" ht="12.75" hidden="false" customHeight="false" outlineLevel="0" collapsed="false">
      <c r="E3" s="31" t="n">
        <v>1990</v>
      </c>
      <c r="F3" s="31" t="n">
        <v>1991</v>
      </c>
      <c r="G3" s="31" t="n">
        <v>1992</v>
      </c>
      <c r="H3" s="31" t="n">
        <v>1993</v>
      </c>
      <c r="I3" s="31" t="n">
        <v>1994</v>
      </c>
    </row>
    <row r="4" customFormat="false" ht="12.75" hidden="false" customHeight="false" outlineLevel="0" collapsed="false">
      <c r="B4" s="2" t="s">
        <v>120</v>
      </c>
    </row>
    <row r="5" customFormat="false" ht="12.75" hidden="false" customHeight="false" outlineLevel="0" collapsed="false">
      <c r="B5" s="0" t="s">
        <v>121</v>
      </c>
      <c r="E5" s="12" t="n">
        <v>166</v>
      </c>
      <c r="F5" s="12" t="n">
        <v>352</v>
      </c>
      <c r="G5" s="12" t="n">
        <v>477</v>
      </c>
      <c r="H5" s="12" t="n">
        <v>604</v>
      </c>
      <c r="I5" s="12" t="n">
        <v>510</v>
      </c>
    </row>
    <row r="6" customFormat="false" ht="12.75" hidden="false" customHeight="false" outlineLevel="0" collapsed="false">
      <c r="B6" s="0" t="s">
        <v>122</v>
      </c>
      <c r="E6" s="12" t="n">
        <v>4.75</v>
      </c>
      <c r="F6" s="12" t="n">
        <v>16.01</v>
      </c>
      <c r="G6" s="12" t="n">
        <v>22.76</v>
      </c>
      <c r="H6" s="12" t="n">
        <v>30.74</v>
      </c>
      <c r="I6" s="12" t="n">
        <v>17.98</v>
      </c>
    </row>
    <row r="7" customFormat="false" ht="14.1" hidden="false" customHeight="true" outlineLevel="0" collapsed="false">
      <c r="B7" s="0" t="s">
        <v>123</v>
      </c>
      <c r="E7" s="12" t="n">
        <v>10.3</v>
      </c>
      <c r="F7" s="12" t="n">
        <v>11.6</v>
      </c>
      <c r="G7" s="12" t="n">
        <v>9.4</v>
      </c>
      <c r="H7" s="12" t="n">
        <v>11.7</v>
      </c>
      <c r="I7" s="12" t="n">
        <v>8.1</v>
      </c>
    </row>
    <row r="8" customFormat="false" ht="21.95" hidden="false" customHeight="true" outlineLevel="0" collapsed="false">
      <c r="B8" s="2" t="s">
        <v>124</v>
      </c>
      <c r="E8" s="12"/>
      <c r="F8" s="12"/>
      <c r="G8" s="12"/>
      <c r="H8" s="12"/>
      <c r="I8" s="12"/>
    </row>
    <row r="9" customFormat="false" ht="12.75" hidden="false" customHeight="false" outlineLevel="0" collapsed="false">
      <c r="B9" s="0" t="s">
        <v>121</v>
      </c>
      <c r="E9" s="12" t="n">
        <v>42</v>
      </c>
      <c r="F9" s="12" t="n">
        <v>122</v>
      </c>
      <c r="G9" s="12" t="n">
        <v>152</v>
      </c>
      <c r="H9" s="12" t="n">
        <v>165</v>
      </c>
      <c r="I9" s="12" t="n">
        <v>136</v>
      </c>
    </row>
    <row r="10" customFormat="false" ht="12.75" hidden="false" customHeight="false" outlineLevel="0" collapsed="false">
      <c r="B10" s="0" t="s">
        <v>125</v>
      </c>
      <c r="E10" s="12" t="n">
        <v>6</v>
      </c>
      <c r="F10" s="12" t="n">
        <v>6</v>
      </c>
      <c r="G10" s="12" t="n">
        <v>6</v>
      </c>
      <c r="H10" s="12" t="n">
        <v>7</v>
      </c>
      <c r="I10" s="12" t="n">
        <v>7</v>
      </c>
    </row>
    <row r="11" customFormat="false" ht="12.75" hidden="false" customHeight="false" outlineLevel="0" collapsed="false">
      <c r="B11" s="0" t="s">
        <v>122</v>
      </c>
      <c r="E11" s="12" t="n">
        <v>1.19</v>
      </c>
      <c r="F11" s="12" t="n">
        <v>3.9</v>
      </c>
      <c r="G11" s="12" t="n">
        <v>4.58</v>
      </c>
      <c r="H11" s="12" t="n">
        <v>4.86</v>
      </c>
      <c r="I11" s="12" t="n">
        <v>3.35</v>
      </c>
    </row>
    <row r="12" customFormat="false" ht="12.75" hidden="false" customHeight="false" outlineLevel="0" collapsed="false">
      <c r="B12" s="0" t="s">
        <v>126</v>
      </c>
      <c r="E12" s="12" t="n">
        <v>28.3</v>
      </c>
      <c r="F12" s="12" t="n">
        <v>32</v>
      </c>
      <c r="G12" s="12" t="n">
        <v>29.1</v>
      </c>
      <c r="H12" s="12" t="n">
        <v>29.6</v>
      </c>
      <c r="I12" s="12" t="n">
        <v>24.8</v>
      </c>
    </row>
    <row r="13" customFormat="false" ht="12.75" hidden="false" customHeight="false" outlineLevel="0" collapsed="false">
      <c r="B13" s="0" t="s">
        <v>127</v>
      </c>
      <c r="E13" s="12" t="n">
        <v>109.3</v>
      </c>
      <c r="F13" s="12" t="n">
        <v>118.5</v>
      </c>
      <c r="G13" s="12" t="n">
        <v>101.7</v>
      </c>
      <c r="H13" s="12" t="n">
        <v>100.5</v>
      </c>
      <c r="I13" s="12" t="n">
        <v>86.8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34.85"/>
    <col collapsed="false" customWidth="true" hidden="false" outlineLevel="0" max="3" min="3" style="0" width="15.56"/>
    <col collapsed="false" customWidth="true" hidden="false" outlineLevel="0" max="4" min="4" style="0" width="15.28"/>
    <col collapsed="false" customWidth="true" hidden="false" outlineLevel="0" max="5" min="5" style="0" width="15.13"/>
    <col collapsed="false" customWidth="true" hidden="false" outlineLevel="0" max="6" min="6" style="0" width="12.56"/>
  </cols>
  <sheetData>
    <row r="2" customFormat="false" ht="12.75" hidden="false" customHeight="false" outlineLevel="0" collapsed="false">
      <c r="B2" s="2" t="s">
        <v>128</v>
      </c>
    </row>
    <row r="3" customFormat="false" ht="12.75" hidden="false" customHeight="false" outlineLevel="0" collapsed="false">
      <c r="B3" s="38"/>
      <c r="C3" s="39"/>
      <c r="D3" s="39"/>
      <c r="E3" s="39"/>
      <c r="F3" s="39"/>
    </row>
    <row r="4" customFormat="false" ht="54.95" hidden="false" customHeight="true" outlineLevel="0" collapsed="false">
      <c r="B4" s="39"/>
      <c r="C4" s="35" t="s">
        <v>129</v>
      </c>
      <c r="D4" s="35" t="s">
        <v>130</v>
      </c>
      <c r="E4" s="35" t="s">
        <v>95</v>
      </c>
      <c r="F4" s="35" t="s">
        <v>131</v>
      </c>
    </row>
    <row r="5" customFormat="false" ht="25.5" hidden="false" customHeight="true" outlineLevel="0" collapsed="false">
      <c r="B5" s="39"/>
      <c r="C5" s="40" t="s">
        <v>132</v>
      </c>
      <c r="D5" s="40" t="s">
        <v>133</v>
      </c>
      <c r="E5" s="40" t="s">
        <v>134</v>
      </c>
      <c r="F5" s="40" t="s">
        <v>133</v>
      </c>
    </row>
    <row r="6" customFormat="false" ht="18" hidden="false" customHeight="true" outlineLevel="0" collapsed="false">
      <c r="B6" s="2" t="s">
        <v>135</v>
      </c>
    </row>
    <row r="7" customFormat="false" ht="12.75" hidden="false" customHeight="false" outlineLevel="0" collapsed="false">
      <c r="B7" s="0" t="s">
        <v>96</v>
      </c>
      <c r="C7" s="8" t="n">
        <v>2411600</v>
      </c>
      <c r="D7" s="8" t="n">
        <v>15214000</v>
      </c>
      <c r="E7" s="8" t="n">
        <v>3629392</v>
      </c>
      <c r="F7" s="8" t="n">
        <v>12413863</v>
      </c>
    </row>
    <row r="8" customFormat="false" ht="12.75" hidden="false" customHeight="false" outlineLevel="0" collapsed="false">
      <c r="B8" s="0" t="s">
        <v>136</v>
      </c>
      <c r="C8" s="11" t="n">
        <v>2169600</v>
      </c>
      <c r="D8" s="11" t="n">
        <v>19876000</v>
      </c>
      <c r="E8" s="11" t="n">
        <v>2272662</v>
      </c>
      <c r="F8" s="11" t="n">
        <v>19387821</v>
      </c>
    </row>
    <row r="9" customFormat="false" ht="12.75" hidden="false" customHeight="false" outlineLevel="0" collapsed="false">
      <c r="B9" s="0" t="s">
        <v>137</v>
      </c>
      <c r="C9" s="11" t="n">
        <v>242000</v>
      </c>
      <c r="D9" s="11" t="n">
        <v>-4662000</v>
      </c>
      <c r="E9" s="11" t="n">
        <v>751520</v>
      </c>
      <c r="F9" s="11" t="n">
        <v>-6973958</v>
      </c>
    </row>
    <row r="10" customFormat="false" ht="12.75" hidden="false" customHeight="false" outlineLevel="0" collapsed="false">
      <c r="B10" s="0" t="s">
        <v>39</v>
      </c>
      <c r="C10" s="11" t="n">
        <v>-3400</v>
      </c>
      <c r="D10" s="11" t="n">
        <v>-731000</v>
      </c>
      <c r="E10" s="12" t="s">
        <v>65</v>
      </c>
      <c r="F10" s="11" t="n">
        <v>-76232</v>
      </c>
    </row>
    <row r="11" customFormat="false" ht="12.75" hidden="false" customHeight="false" outlineLevel="0" collapsed="false">
      <c r="B11" s="0" t="s">
        <v>138</v>
      </c>
      <c r="C11" s="11" t="n">
        <v>227300</v>
      </c>
      <c r="D11" s="12" t="s">
        <v>139</v>
      </c>
      <c r="E11" s="11" t="n">
        <v>1331262</v>
      </c>
      <c r="F11" s="11" t="n">
        <v>-6948759</v>
      </c>
    </row>
    <row r="12" customFormat="false" ht="20.1" hidden="false" customHeight="true" outlineLevel="0" collapsed="false">
      <c r="B12" s="0" t="s">
        <v>100</v>
      </c>
      <c r="C12" s="17" t="n">
        <v>0.04</v>
      </c>
      <c r="D12" s="17" t="n">
        <v>-0.26</v>
      </c>
      <c r="E12" s="17" t="n">
        <v>0.39</v>
      </c>
      <c r="F12" s="17" t="n">
        <v>-0.35</v>
      </c>
    </row>
    <row r="13" customFormat="false" ht="12.75" hidden="false" customHeight="false" outlineLevel="0" collapsed="false">
      <c r="B13" s="0" t="s">
        <v>101</v>
      </c>
      <c r="C13" s="11" t="n">
        <v>6300600</v>
      </c>
      <c r="D13" s="11" t="n">
        <v>20395000</v>
      </c>
      <c r="E13" s="11" t="n">
        <v>3448952</v>
      </c>
      <c r="F13" s="11" t="n">
        <v>20029824</v>
      </c>
    </row>
    <row r="14" customFormat="false" ht="21" hidden="false" customHeight="true" outlineLevel="0" collapsed="false">
      <c r="B14" s="0" t="s">
        <v>102</v>
      </c>
      <c r="C14" s="11" t="n">
        <v>1027600</v>
      </c>
      <c r="D14" s="11" t="n">
        <v>2536000</v>
      </c>
      <c r="E14" s="11" t="n">
        <v>208567</v>
      </c>
      <c r="F14" s="11" t="n">
        <v>5897309</v>
      </c>
    </row>
    <row r="15" customFormat="false" ht="12.75" hidden="false" customHeight="false" outlineLevel="0" collapsed="false">
      <c r="B15" s="0" t="s">
        <v>103</v>
      </c>
      <c r="C15" s="11" t="n">
        <v>156900</v>
      </c>
      <c r="D15" s="11" t="n">
        <v>3183000</v>
      </c>
      <c r="E15" s="11" t="n">
        <v>68034</v>
      </c>
      <c r="F15" s="11" t="n">
        <v>1010027</v>
      </c>
    </row>
    <row r="16" customFormat="false" ht="23.1" hidden="false" customHeight="true" outlineLevel="0" collapsed="false">
      <c r="B16" s="0" t="s">
        <v>104</v>
      </c>
      <c r="C16" s="11" t="n">
        <v>235500</v>
      </c>
      <c r="D16" s="11" t="n">
        <v>5564000</v>
      </c>
      <c r="E16" s="11" t="n">
        <v>3254562</v>
      </c>
      <c r="F16" s="11" t="n">
        <v>6192629</v>
      </c>
    </row>
    <row r="17" customFormat="false" ht="12.75" hidden="false" customHeight="false" outlineLevel="0" collapsed="false">
      <c r="B17" s="0" t="s">
        <v>105</v>
      </c>
      <c r="C17" s="11" t="n">
        <v>75500</v>
      </c>
      <c r="D17" s="11" t="n">
        <v>3358000</v>
      </c>
      <c r="E17" s="11" t="n">
        <v>1450651</v>
      </c>
      <c r="F17" s="11" t="n">
        <v>4649737</v>
      </c>
    </row>
    <row r="18" customFormat="false" ht="12.75" hidden="false" customHeight="false" outlineLevel="0" collapsed="false">
      <c r="B18" s="0" t="s">
        <v>106</v>
      </c>
      <c r="C18" s="11" t="n">
        <v>1347000</v>
      </c>
      <c r="D18" s="11" t="n">
        <v>17055000</v>
      </c>
      <c r="E18" s="11" t="n">
        <v>5296727</v>
      </c>
      <c r="F18" s="11" t="n">
        <v>12024575</v>
      </c>
    </row>
    <row r="19" customFormat="false" ht="12.75" hidden="false" customHeight="false" outlineLevel="0" collapsed="false">
      <c r="B19" s="0" t="s">
        <v>107</v>
      </c>
      <c r="C19" s="11" t="n">
        <v>789300</v>
      </c>
      <c r="D19" s="11" t="n">
        <v>7118000</v>
      </c>
      <c r="E19" s="11" t="n">
        <v>1406727</v>
      </c>
      <c r="F19" s="11" t="n">
        <v>5755418</v>
      </c>
    </row>
    <row r="20" customFormat="false" ht="12.75" hidden="false" customHeight="false" outlineLevel="0" collapsed="false">
      <c r="B20" s="0" t="s">
        <v>108</v>
      </c>
      <c r="C20" s="11" t="n">
        <v>802300</v>
      </c>
      <c r="D20" s="11" t="n">
        <v>11721000</v>
      </c>
      <c r="E20" s="11" t="n">
        <v>3056727</v>
      </c>
      <c r="F20" s="11" t="n">
        <v>6422085</v>
      </c>
    </row>
    <row r="21" customFormat="false" ht="12.75" hidden="false" customHeight="false" outlineLevel="0" collapsed="false">
      <c r="B21" s="0" t="s">
        <v>109</v>
      </c>
      <c r="C21" s="11" t="n">
        <v>544700</v>
      </c>
      <c r="D21" s="11" t="n">
        <v>5334000</v>
      </c>
      <c r="E21" s="11" t="n">
        <v>2240000</v>
      </c>
      <c r="F21" s="11" t="n">
        <v>5602490</v>
      </c>
    </row>
    <row r="22" customFormat="false" ht="24.95" hidden="false" customHeight="true" outlineLevel="0" collapsed="false">
      <c r="B22" s="2" t="s">
        <v>140</v>
      </c>
      <c r="C22" s="12"/>
      <c r="D22" s="12"/>
      <c r="E22" s="12"/>
      <c r="F22" s="12"/>
    </row>
    <row r="23" customFormat="false" ht="12.75" hidden="false" customHeight="false" outlineLevel="0" collapsed="false">
      <c r="B23" s="0" t="s">
        <v>141</v>
      </c>
      <c r="C23" s="41" t="n">
        <v>33220</v>
      </c>
      <c r="D23" s="41" t="n">
        <v>33365</v>
      </c>
      <c r="E23" s="41" t="n">
        <v>33415</v>
      </c>
      <c r="F23" s="41" t="n">
        <v>33382</v>
      </c>
    </row>
    <row r="24" customFormat="false" ht="12.75" hidden="false" customHeight="false" outlineLevel="0" collapsed="false">
      <c r="B24" s="0" t="s">
        <v>142</v>
      </c>
      <c r="C24" s="17" t="n">
        <v>13</v>
      </c>
      <c r="D24" s="17" t="n">
        <v>12</v>
      </c>
      <c r="E24" s="17" t="n">
        <v>17</v>
      </c>
      <c r="F24" s="17" t="n">
        <v>14</v>
      </c>
    </row>
    <row r="25" customFormat="false" ht="12.75" hidden="false" customHeight="false" outlineLevel="0" collapsed="false">
      <c r="B25" s="0" t="s">
        <v>143</v>
      </c>
      <c r="C25" s="11" t="n">
        <v>1850000</v>
      </c>
      <c r="D25" s="11" t="n">
        <v>4370000</v>
      </c>
      <c r="E25" s="11" t="n">
        <v>2000000</v>
      </c>
      <c r="F25" s="11" t="n">
        <v>4725000</v>
      </c>
    </row>
    <row r="26" customFormat="false" ht="12.75" hidden="false" customHeight="false" outlineLevel="0" collapsed="false">
      <c r="B26" s="0" t="s">
        <v>144</v>
      </c>
      <c r="C26" s="42" t="n">
        <v>0.28</v>
      </c>
      <c r="D26" s="42" t="n">
        <v>0.17</v>
      </c>
      <c r="E26" s="42" t="n">
        <v>0.4</v>
      </c>
      <c r="F26" s="42" t="n">
        <v>0.17</v>
      </c>
    </row>
    <row r="27" customFormat="false" ht="21.95" hidden="false" customHeight="true" outlineLevel="0" collapsed="false">
      <c r="B27" s="0" t="s">
        <v>145</v>
      </c>
      <c r="C27" s="42" t="n">
        <v>0.31</v>
      </c>
      <c r="D27" s="42" t="n">
        <v>0.27</v>
      </c>
      <c r="E27" s="42" t="n">
        <v>0.6</v>
      </c>
      <c r="F27" s="42" t="n">
        <v>0.96</v>
      </c>
    </row>
    <row r="28" customFormat="false" ht="21.95" hidden="false" customHeight="true" outlineLevel="0" collapsed="false">
      <c r="B28" s="39" t="s">
        <v>146</v>
      </c>
      <c r="C28" s="43" t="n">
        <v>36.375</v>
      </c>
      <c r="D28" s="43" t="n">
        <v>22</v>
      </c>
      <c r="E28" s="43" t="n">
        <v>49.25</v>
      </c>
      <c r="F28" s="43" t="n">
        <v>46.25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2001-04-13T23:54:05Z</dcterms:created>
  <dc:creator>Compaq</dc:creator>
  <dc:description/>
  <dc:language>en-US</dc:language>
  <cp:lastModifiedBy>MIS Admin</cp:lastModifiedBy>
  <dcterms:modified xsi:type="dcterms:W3CDTF">2001-04-14T23:16:19Z</dcterms:modified>
  <cp:revision>0</cp:revision>
  <dc:subject/>
  <dc:title/>
</cp:coreProperties>
</file>