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tural Gas" sheetId="1" state="visible" r:id="rId3"/>
    <sheet name="Natural Gas Trading" sheetId="2" state="visible" r:id="rId4"/>
    <sheet name="Natural Gas Orig-Texas" sheetId="3" state="visible" r:id="rId5"/>
    <sheet name="Natural Gas A&amp;A" sheetId="4" state="visible" r:id="rId6"/>
    <sheet name="Natural Gas Admin" sheetId="5" state="visible" r:id="rId7"/>
  </sheets>
  <externalReferences>
    <externalReference r:id="rId8"/>
    <externalReference r:id="rId9"/>
  </externalReferences>
  <definedNames>
    <definedName function="false" hidden="false" localSheetId="0" name="_xlnm.Print_Area" vbProcedure="false">'Natural Gas'!$B$1:$L$34</definedName>
    <definedName function="false" hidden="false" localSheetId="3" name="_xlnm.Print_Area" vbProcedure="false">'Natural Gas A&amp;A'!$B$1:$L$34</definedName>
    <definedName function="false" hidden="false" localSheetId="4" name="_xlnm.Print_Area" vbProcedure="false">'Natural Gas Admin'!$B$1:$L$34</definedName>
    <definedName function="false" hidden="false" localSheetId="2" name="_xlnm.Print_Area" vbProcedure="false">'Natural Gas Orig-Texas'!$B$1:$V$53</definedName>
    <definedName function="false" hidden="false" localSheetId="1" name="_xlnm.Print_Area" vbProcedure="false">'Natural Gas Trading'!$B$1:$L$34</definedName>
    <definedName function="false" hidden="false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<sst xmlns="http://schemas.openxmlformats.org/spreadsheetml/2006/main" count="371" uniqueCount="91">
  <si>
    <t xml:space="preserve">Natural Gas</t>
  </si>
  <si>
    <t xml:space="preserve">2002 Plan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</si>
  <si>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</si>
  <si>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</si>
  <si>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</si>
  <si>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</si>
  <si>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</si>
  <si>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</si>
  <si>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</si>
  <si>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</si>
  <si>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</si>
  <si>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</si>
  <si>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</si>
  <si>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</si>
  <si>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</si>
  <si>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</si>
  <si>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</si>
  <si>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</si>
  <si>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Other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</si>
  <si>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</si>
  <si>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</si>
  <si>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</si>
  <si>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</si>
  <si>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</si>
  <si>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</si>
  <si>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</si>
  <si>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</si>
  <si>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</si>
  <si>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</si>
  <si>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</si>
  <si>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</si>
  <si>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</si>
  <si>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</si>
  <si>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</si>
  <si>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</si>
  <si>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</si>
  <si>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</si>
  <si>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</si>
  <si>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</si>
  <si>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</si>
  <si>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</si>
  <si>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</si>
  <si>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</si>
  <si>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</si>
  <si>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</si>
  <si>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</si>
  <si>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</si>
  <si>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</si>
  <si>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</si>
  <si>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</si>
  <si>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</si>
  <si>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</si>
  <si>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</si>
  <si>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Headcount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</si>
  <si>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</si>
  <si>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</si>
  <si>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</si>
  <si>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</si>
  <si>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</si>
  <si>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</si>
  <si>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</si>
  <si>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</si>
  <si>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</si>
  <si>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</si>
  <si>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</si>
  <si>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Natural Gas Origination</t>
  </si>
  <si>
    <t xml:space="preserve"> </t>
  </si>
  <si>
    <t xml:space="preserve">Total Orig Plan</t>
  </si>
  <si>
    <t xml:space="preserve">TX Alloc Plan</t>
  </si>
  <si>
    <t xml:space="preserve">TX Plan 09/01</t>
  </si>
  <si>
    <t xml:space="preserve">TX Plan 09/01 Adj</t>
  </si>
  <si>
    <t xml:space="preserve">Variance Analysis</t>
  </si>
  <si>
    <t xml:space="preserve">NetCo Plan for TX Orig vs. 09/01 TX Orig Plan Adj.</t>
  </si>
  <si>
    <t xml:space="preserve">Seems low as significant customer contact will be required</t>
  </si>
  <si>
    <t xml:space="preserve">NetCo will need to pay for outside engineering services</t>
  </si>
  <si>
    <t xml:space="preserve">NetCo Plan number seems low</t>
  </si>
  <si>
    <t xml:space="preserve">incl</t>
  </si>
  <si>
    <t xml:space="preserve">NetCo will require access to pipeline/mapping databases</t>
  </si>
  <si>
    <t xml:space="preserve">Notes</t>
  </si>
  <si>
    <t xml:space="preserve">Total Gas Orig Budget</t>
  </si>
  <si>
    <t xml:space="preserve">Use headcount to calc</t>
  </si>
  <si>
    <t xml:space="preserve">TX Orig Budget submitted</t>
  </si>
  <si>
    <t xml:space="preserve">TX Orig Budget of 9/01</t>
  </si>
  <si>
    <t xml:space="preserve">Per Office of the Chair</t>
  </si>
  <si>
    <t xml:space="preserve">allocation to TX Orig</t>
  </si>
  <si>
    <t xml:space="preserve">to Office of Chair 9/01</t>
  </si>
  <si>
    <t xml:space="preserve">adj. for new headcount</t>
  </si>
  <si>
    <t xml:space="preserve">Texas Orig Headcount</t>
  </si>
  <si>
    <t xml:space="preserve">MD/VP</t>
  </si>
  <si>
    <t xml:space="preserve">Natural Gas Analyst &amp; Associate</t>
  </si>
  <si>
    <t xml:space="preserve">Natural Gas Admins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</si>
</sst>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  <numFmt numFmtId="168" formatCode="[$-409]mmm\-yy"/>
    <numFmt numFmtId="169" formatCode="@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sz val="10"/>
      <name val="Arial"/>
      <family val="2"/>
    </font>
    <font>
      <u val="single"/>
      <sz val="10"/>
      <name val="Arial Narrow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bredmon/Local%20Settings/Temporary%20Internet%20Files/OLKB3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bredmon/Local%20Settings/Temporary%20Internet%20Files/OLKB3/Natural%20Gas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12159180</v>
      </c>
      <c r="I8" s="10" t="s">
        <v>13</v>
      </c>
      <c r="J8" s="1" t="n">
        <v>0</v>
      </c>
      <c r="L8" s="11" t="n">
        <f aca="false">L30</f>
        <v>15668136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2611356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90</v>
      </c>
      <c r="L11" s="11" t="n">
        <f aca="false">J11*K11</f>
        <v>4344316.3125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554622.6375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493646.1225</v>
      </c>
      <c r="I13" s="19" t="s">
        <v>23</v>
      </c>
      <c r="J13" s="20"/>
      <c r="K13" s="20"/>
      <c r="L13" s="21" t="n">
        <f aca="false">L8+L11</f>
        <v>20012452.3125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0.180000000014843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78422.25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4425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80366.19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81907.74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12</v>
      </c>
      <c r="I20" s="1" t="s">
        <v>42</v>
      </c>
      <c r="J20" s="1" t="n">
        <v>71500</v>
      </c>
      <c r="K20" s="1" t="n">
        <f aca="false">2+1</f>
        <v>3</v>
      </c>
      <c r="L20" s="1" t="n">
        <f aca="false">J20*K20</f>
        <v>214500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101841.6825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(E22/$E$29)*$K$11+557047+65535</f>
        <v>3571654.51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20635034.3125</v>
      </c>
      <c r="I23" s="1" t="s">
        <v>51</v>
      </c>
      <c r="J23" s="1" t="n">
        <v>110000</v>
      </c>
      <c r="K23" s="1" t="n">
        <f aca="false">1+8+11</f>
        <v>20</v>
      </c>
      <c r="L23" s="1" t="n">
        <f aca="false">J23*K23</f>
        <v>2200000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1+11+14</f>
        <v>26</v>
      </c>
      <c r="L24" s="1" t="n">
        <f aca="false">J24*K24</f>
        <v>3718000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78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f aca="false">8+6</f>
        <v>14</v>
      </c>
      <c r="L26" s="1" t="n">
        <f aca="false">J26*K26</f>
        <v>2772000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f aca="false">1+1</f>
        <v>2</v>
      </c>
      <c r="L27" s="1" t="n">
        <f aca="false">J27*K27</f>
        <v>440000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90</v>
      </c>
      <c r="L28" s="1" t="n">
        <f aca="false">SUM(L16:L27)*1.2</f>
        <v>13056780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90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15668136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90</v>
      </c>
      <c r="L34" s="33" t="n">
        <f aca="false">+J34*K34</f>
        <v>4344316.3125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64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5652900</v>
      </c>
      <c r="I8" s="10" t="s">
        <v>13</v>
      </c>
      <c r="J8" s="1" t="n">
        <v>0</v>
      </c>
      <c r="L8" s="11" t="n">
        <f aca="false">L30</f>
        <v>6783480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1130580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33</v>
      </c>
      <c r="L11" s="11" t="n">
        <f aca="false">J11*K11</f>
        <v>1592915.98125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203361.63375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181003.57825</v>
      </c>
      <c r="I13" s="19" t="s">
        <v>23</v>
      </c>
      <c r="J13" s="20"/>
      <c r="K13" s="20"/>
      <c r="L13" s="21" t="n">
        <f aca="false">L8+L11</f>
        <v>8376395.98125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0.0660000000054424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28754.825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1622.5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29467.603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30032.838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4.4</v>
      </c>
      <c r="I20" s="1" t="s">
        <v>42</v>
      </c>
      <c r="J20" s="1" t="n">
        <v>71500</v>
      </c>
      <c r="K20" s="1" t="n">
        <f aca="false">2+1-1</f>
        <v>2</v>
      </c>
      <c r="L20" s="1" t="n">
        <f aca="false">J20*K20</f>
        <v>143000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37341.95025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(E22/$E$29)*$K$11+557047+65535+393210+393210+1081327</f>
        <v>3571655.587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10866724.98125</v>
      </c>
      <c r="I23" s="1" t="s">
        <v>51</v>
      </c>
      <c r="J23" s="1" t="n">
        <v>110000</v>
      </c>
      <c r="K23" s="1" t="n">
        <f aca="false">1+8+11-11</f>
        <v>9</v>
      </c>
      <c r="L23" s="1" t="n">
        <f aca="false">J23*K23</f>
        <v>990000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1+11+14-14</f>
        <v>12</v>
      </c>
      <c r="L24" s="1" t="n">
        <f aca="false">J24*K24</f>
        <v>1716000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33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f aca="false">8+6-6</f>
        <v>8</v>
      </c>
      <c r="L26" s="1" t="n">
        <f aca="false">J26*K26</f>
        <v>1584000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f aca="false">1+1-1</f>
        <v>1</v>
      </c>
      <c r="L27" s="1" t="n">
        <f aca="false">J27*K27</f>
        <v>220000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33</v>
      </c>
      <c r="L28" s="1" t="n">
        <f aca="false">SUM(L16:L27)*1.2</f>
        <v>5652900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33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6783480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33</v>
      </c>
      <c r="L34" s="33" t="n">
        <f aca="false">+J34*K34</f>
        <v>1592915.98125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53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V2" activeCellId="0" sqref="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6.7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false" outlineLevel="0" max="14" min="14" style="0" width="1.99"/>
    <col collapsed="false" customWidth="true" hidden="false" outlineLevel="0" max="15" min="15" style="0" width="15.56"/>
    <col collapsed="false" customWidth="true" hidden="false" outlineLevel="0" max="16" min="16" style="0" width="2.7"/>
    <col collapsed="false" customWidth="true" hidden="false" outlineLevel="0" max="17" min="17" style="0" width="18.99"/>
    <col collapsed="false" customWidth="true" hidden="false" outlineLevel="0" max="18" min="18" style="0" width="1.99"/>
    <col collapsed="false" customWidth="true" hidden="false" outlineLevel="0" max="19" min="19" style="0" width="17.14"/>
    <col collapsed="false" customWidth="true" hidden="false" outlineLevel="0" max="20" min="20" style="0" width="2.28"/>
    <col collapsed="false" customWidth="true" hidden="false" outlineLevel="0" max="21" min="21" style="0" width="17.14"/>
    <col collapsed="false" customWidth="true" hidden="false" outlineLevel="0" max="22" min="22" style="0" width="39.7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65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3.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35" t="s">
        <v>7</v>
      </c>
      <c r="I6" s="7"/>
      <c r="J6" s="8"/>
      <c r="K6" s="8"/>
      <c r="L6" s="9"/>
      <c r="M6" s="36"/>
      <c r="N6" s="36"/>
      <c r="O6" s="37" t="s">
        <v>7</v>
      </c>
      <c r="Q6" s="35" t="s">
        <v>7</v>
      </c>
      <c r="R6" s="36"/>
      <c r="S6" s="37" t="s">
        <v>7</v>
      </c>
      <c r="U6" s="35" t="s">
        <v>66</v>
      </c>
      <c r="V6" s="37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38" t="s">
        <v>67</v>
      </c>
      <c r="I7" s="10"/>
      <c r="L7" s="11"/>
      <c r="M7" s="23"/>
      <c r="N7" s="23"/>
      <c r="O7" s="39" t="s">
        <v>68</v>
      </c>
      <c r="Q7" s="38" t="s">
        <v>69</v>
      </c>
      <c r="R7" s="23"/>
      <c r="S7" s="39" t="s">
        <v>70</v>
      </c>
      <c r="U7" s="38" t="s">
        <v>71</v>
      </c>
      <c r="V7" s="39" t="s">
        <v>72</v>
      </c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E8/$E$24</f>
        <v>0.528778555954281</v>
      </c>
      <c r="H8" s="40" t="n">
        <f aca="false">L29-H11</f>
        <v>5629800</v>
      </c>
      <c r="I8" s="10" t="s">
        <v>13</v>
      </c>
      <c r="J8" s="1" t="n">
        <v>0</v>
      </c>
      <c r="L8" s="11" t="n">
        <f aca="false">L31</f>
        <v>6755760</v>
      </c>
      <c r="M8" s="23"/>
      <c r="N8" s="23"/>
      <c r="O8" s="41" t="n">
        <f aca="false">$O$30/$H$30*H8</f>
        <v>682400</v>
      </c>
      <c r="Q8" s="40" t="n">
        <v>1003004</v>
      </c>
      <c r="R8" s="23"/>
      <c r="S8" s="41" t="n">
        <f aca="false">$S$26/$Q$26*Q8</f>
        <v>573145.142857143</v>
      </c>
      <c r="U8" s="40" t="n">
        <f aca="false">O8-IF(S8="incl",0,S8)</f>
        <v>109254.857142857</v>
      </c>
      <c r="V8" s="42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E9/$E$24</f>
        <v>0</v>
      </c>
      <c r="H9" s="40" t="n">
        <v>0</v>
      </c>
      <c r="I9" s="10"/>
      <c r="L9" s="11"/>
      <c r="M9" s="23"/>
      <c r="N9" s="23"/>
      <c r="O9" s="41" t="n">
        <f aca="false">$O$30/$H$30*H9</f>
        <v>0</v>
      </c>
      <c r="Q9" s="40" t="n">
        <f aca="false">$O$30/$H$30*H9</f>
        <v>0</v>
      </c>
      <c r="R9" s="23"/>
      <c r="S9" s="41" t="n">
        <f aca="false">$O$30/$H$30*J9</f>
        <v>0</v>
      </c>
      <c r="U9" s="40" t="n">
        <f aca="false">O9-IF(S9="incl",0,S9)</f>
        <v>0</v>
      </c>
      <c r="V9" s="42"/>
    </row>
    <row r="10" customFormat="false" ht="12.75" hidden="false" customHeight="false" outlineLevel="0" collapsed="false">
      <c r="A10" s="14"/>
      <c r="B10" s="15" t="s">
        <v>33</v>
      </c>
      <c r="C10" s="16"/>
      <c r="E10" s="16"/>
      <c r="G10" s="17"/>
      <c r="H10" s="40" t="n">
        <v>0</v>
      </c>
      <c r="I10" s="10"/>
      <c r="L10" s="11"/>
      <c r="M10" s="23"/>
      <c r="N10" s="23"/>
      <c r="O10" s="41" t="n">
        <v>0</v>
      </c>
      <c r="Q10" s="40" t="n">
        <v>30000</v>
      </c>
      <c r="R10" s="23"/>
      <c r="S10" s="41" t="n">
        <v>0</v>
      </c>
      <c r="U10" s="40"/>
      <c r="V10" s="42"/>
    </row>
    <row r="11" customFormat="false" ht="12.75" hidden="false" customHeight="false" outlineLevel="0" collapsed="false">
      <c r="A11" s="14"/>
      <c r="B11" s="15" t="s">
        <v>15</v>
      </c>
      <c r="C11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1" s="16"/>
      <c r="E11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1" s="17" t="n">
        <f aca="false">E11/$E$24</f>
        <v>0.00377976191391553</v>
      </c>
      <c r="H11" s="40" t="n">
        <f aca="false">L22+L23</f>
        <v>0</v>
      </c>
      <c r="I11" s="10"/>
      <c r="L11" s="11"/>
      <c r="M11" s="23"/>
      <c r="N11" s="23"/>
      <c r="O11" s="41" t="n">
        <f aca="false">$O$30/$H$30*H11</f>
        <v>0</v>
      </c>
      <c r="Q11" s="40" t="n">
        <v>237600</v>
      </c>
      <c r="R11" s="23"/>
      <c r="S11" s="41" t="n">
        <f aca="false">S28/Q28*Q11</f>
        <v>0</v>
      </c>
      <c r="U11" s="40" t="n">
        <f aca="false">O11-IF(S11="incl",0,S11)</f>
        <v>0</v>
      </c>
      <c r="V11" s="42"/>
    </row>
    <row r="12" customFormat="false" ht="12.75" hidden="false" customHeight="false" outlineLevel="0" collapsed="false">
      <c r="A12" s="14" t="s">
        <v>16</v>
      </c>
      <c r="B12" s="15" t="s">
        <v>17</v>
      </c>
      <c r="C12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2" s="16" t="n">
        <f aca="false">((C12/9)*12)</f>
        <v>2469743.93333333</v>
      </c>
      <c r="G12" s="17" t="n">
        <f aca="false">E12/$E$24</f>
        <v>0.113260504681299</v>
      </c>
      <c r="H12" s="40" t="n">
        <f aca="false">L31-L29</f>
        <v>1125960</v>
      </c>
      <c r="I12" s="10" t="s">
        <v>18</v>
      </c>
      <c r="J12" s="1" t="n">
        <f aca="false">(E13+E14+E15+E16+E17+E18+E19+E20+E21+E22+E23)/E30</f>
        <v>48270.18125</v>
      </c>
      <c r="K12" s="1" t="n">
        <f aca="false">K29</f>
        <v>33</v>
      </c>
      <c r="L12" s="11" t="n">
        <f aca="false">J12*K12</f>
        <v>1592915.98125</v>
      </c>
      <c r="M12" s="23"/>
      <c r="N12" s="23"/>
      <c r="O12" s="41" t="n">
        <f aca="false">$O$30/$H$30*H12</f>
        <v>136480</v>
      </c>
      <c r="Q12" s="40" t="n">
        <v>160129</v>
      </c>
      <c r="R12" s="23"/>
      <c r="S12" s="41" t="n">
        <f aca="false">$S$26/$Q$26*(IF(Q12="incl",0,Q12))</f>
        <v>91502.2857142857</v>
      </c>
      <c r="U12" s="40" t="n">
        <f aca="false">O12-IF(S12="incl",0,S12)</f>
        <v>44977.7142857143</v>
      </c>
      <c r="V12" s="42"/>
    </row>
    <row r="13" customFormat="false" ht="12.75" hidden="false" customHeight="false" outlineLevel="0" collapsed="false">
      <c r="A13" s="14" t="s">
        <v>19</v>
      </c>
      <c r="B13" s="15" t="s">
        <v>20</v>
      </c>
      <c r="C13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3" s="18" t="n">
        <f aca="false">((C13/9)*12)-500000</f>
        <v>985995.8</v>
      </c>
      <c r="G13" s="17" t="n">
        <f aca="false">E13/$E$24</f>
        <v>0.0452169880506265</v>
      </c>
      <c r="H13" s="40" t="n">
        <f aca="false">(E13/$E$30)*$K$12</f>
        <v>203361.63375</v>
      </c>
      <c r="I13" s="10"/>
      <c r="L13" s="11"/>
      <c r="M13" s="23"/>
      <c r="N13" s="23"/>
      <c r="O13" s="41" t="n">
        <f aca="false">$O$30/$H$30*H13</f>
        <v>24649.895</v>
      </c>
      <c r="Q13" s="40" t="n">
        <v>118700</v>
      </c>
      <c r="R13" s="23"/>
      <c r="S13" s="41" t="n">
        <f aca="false">$S$26/$Q$26*(IF(Q13="incl",0,Q13))</f>
        <v>67828.5714285714</v>
      </c>
      <c r="U13" s="40" t="n">
        <f aca="false">O13-IF(S13="incl",0,S13)</f>
        <v>-43178.6764285714</v>
      </c>
      <c r="V13" s="42"/>
    </row>
    <row r="14" customFormat="false" ht="13.5" hidden="false" customHeight="false" outlineLevel="0" collapsed="false">
      <c r="A14" s="14" t="s">
        <v>21</v>
      </c>
      <c r="B14" s="15" t="s">
        <v>22</v>
      </c>
      <c r="C14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4" s="18" t="n">
        <f aca="false">((C14/9)*12)-500000-500000</f>
        <v>877593.106666667</v>
      </c>
      <c r="G14" s="17" t="n">
        <f aca="false">E14/$E$24</f>
        <v>0.0402457262165406</v>
      </c>
      <c r="H14" s="40" t="n">
        <f aca="false">(E14/$E$30)*$K$12</f>
        <v>181003.57825</v>
      </c>
      <c r="I14" s="19" t="s">
        <v>23</v>
      </c>
      <c r="J14" s="20"/>
      <c r="K14" s="20"/>
      <c r="L14" s="21" t="n">
        <f aca="false">L8+L12</f>
        <v>8348675.98125</v>
      </c>
      <c r="M14" s="23"/>
      <c r="N14" s="1"/>
      <c r="O14" s="41" t="n">
        <f aca="false">$O$30/$H$30*H14</f>
        <v>21939.8276666667</v>
      </c>
      <c r="P14" s="22"/>
      <c r="Q14" s="40" t="n">
        <v>680000</v>
      </c>
      <c r="R14" s="23"/>
      <c r="S14" s="41" t="n">
        <f aca="false">$S$26/$Q$26*(IF(Q14="incl",0,Q14))</f>
        <v>388571.428571429</v>
      </c>
      <c r="U14" s="40" t="n">
        <f aca="false">O14-IF(S14="incl",0,S14)</f>
        <v>-366631.600904762</v>
      </c>
      <c r="V14" s="42" t="s">
        <v>73</v>
      </c>
    </row>
    <row r="15" customFormat="false" ht="12.75" hidden="false" customHeight="false" outlineLevel="0" collapsed="false">
      <c r="A15" s="14" t="s">
        <v>24</v>
      </c>
      <c r="B15" s="15" t="s">
        <v>25</v>
      </c>
      <c r="C15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Origination'!C14+[2]Fundamentals!C14-C33</f>
        <v>0.240000000019791</v>
      </c>
      <c r="E15" s="18" t="n">
        <f aca="false">(C15/9)*12</f>
        <v>0.320000000026387</v>
      </c>
      <c r="G15" s="17" t="n">
        <f aca="false">E15/$E$24</f>
        <v>1.46749470711677E-008</v>
      </c>
      <c r="H15" s="40" t="n">
        <f aca="false">(E15/$E$30)*$K$12</f>
        <v>0.0660000000054424</v>
      </c>
      <c r="M15" s="23"/>
      <c r="N15" s="23"/>
      <c r="O15" s="41" t="n">
        <f aca="false">$O$30/$H$30*H15</f>
        <v>0.00800000000065969</v>
      </c>
      <c r="Q15" s="40" t="n">
        <v>70000</v>
      </c>
      <c r="R15" s="23"/>
      <c r="S15" s="41" t="n">
        <f aca="false">$S$26/$Q$26*(IF(Q15="incl",0,Q15))</f>
        <v>40000</v>
      </c>
      <c r="U15" s="40" t="n">
        <f aca="false">O15-IF(S15="incl",0,S15)</f>
        <v>-39999.992</v>
      </c>
      <c r="V15" s="42" t="s">
        <v>74</v>
      </c>
    </row>
    <row r="16" customFormat="false" ht="12.75" hidden="false" customHeight="false" outlineLevel="0" collapsed="false">
      <c r="A16" s="14" t="s">
        <v>26</v>
      </c>
      <c r="B16" s="15" t="s">
        <v>27</v>
      </c>
      <c r="C16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6" s="18" t="n">
        <f aca="false">((C16/9)*12)-75000</f>
        <v>139417.333333333</v>
      </c>
      <c r="G16" s="17" t="n">
        <f aca="false">E16/$E$24</f>
        <v>0.00639356871031657</v>
      </c>
      <c r="H16" s="40" t="n">
        <f aca="false">(E16/$E$30)*$K$12</f>
        <v>28754.825</v>
      </c>
      <c r="M16" s="23"/>
      <c r="N16" s="23"/>
      <c r="O16" s="41" t="n">
        <f aca="false">$O$30/$H$30*H16</f>
        <v>3485.43333333333</v>
      </c>
      <c r="Q16" s="40" t="n">
        <v>192200</v>
      </c>
      <c r="R16" s="23"/>
      <c r="S16" s="41" t="n">
        <f aca="false">$S$26/$Q$26*(IF(Q16="incl",0,Q16))</f>
        <v>109828.571428571</v>
      </c>
      <c r="U16" s="40" t="n">
        <f aca="false">O16-IF(S16="incl",0,S16)</f>
        <v>-106343.138095238</v>
      </c>
      <c r="V16" s="42" t="s">
        <v>75</v>
      </c>
    </row>
    <row r="17" customFormat="false" ht="12.75" hidden="false" customHeight="false" outlineLevel="0" collapsed="false">
      <c r="A17" s="14" t="s">
        <v>28</v>
      </c>
      <c r="B17" s="15" t="s">
        <v>29</v>
      </c>
      <c r="C17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7" s="18" t="n">
        <f aca="false">(C17/9)*12</f>
        <v>0</v>
      </c>
      <c r="G17" s="17" t="n">
        <f aca="false">E17/$E$24</f>
        <v>0</v>
      </c>
      <c r="H17" s="40" t="n">
        <f aca="false">(E17/$E$30)*$K$12</f>
        <v>0</v>
      </c>
      <c r="I17" s="1" t="s">
        <v>30</v>
      </c>
      <c r="J17" s="1" t="n">
        <v>33000</v>
      </c>
      <c r="K17" s="1" t="n">
        <f aca="false">1-1</f>
        <v>0</v>
      </c>
      <c r="L17" s="1" t="n">
        <f aca="false">J17*K17</f>
        <v>0</v>
      </c>
      <c r="M17" s="23"/>
      <c r="N17" s="23"/>
      <c r="O17" s="41" t="n">
        <f aca="false">$O$30/$H$30*H17</f>
        <v>0</v>
      </c>
      <c r="Q17" s="40" t="n">
        <v>15000</v>
      </c>
      <c r="R17" s="23"/>
      <c r="S17" s="41" t="n">
        <f aca="false">$S$26/$Q$26*(IF(Q17="incl",0,Q17))</f>
        <v>8571.42857142857</v>
      </c>
      <c r="U17" s="40" t="n">
        <f aca="false">O17-IF(S17="incl",0,S17)</f>
        <v>-8571.42857142857</v>
      </c>
      <c r="V17" s="42"/>
    </row>
    <row r="18" customFormat="false" ht="12.75" hidden="false" customHeight="false" outlineLevel="0" collapsed="false">
      <c r="A18" s="14" t="s">
        <v>31</v>
      </c>
      <c r="B18" s="15" t="s">
        <v>32</v>
      </c>
      <c r="C18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8" s="18" t="n">
        <f aca="false">((C18/9)*12)</f>
        <v>7866.66666666667</v>
      </c>
      <c r="G18" s="17" t="n">
        <f aca="false">E18/$E$24</f>
        <v>0.000360759115469791</v>
      </c>
      <c r="H18" s="40" t="n">
        <f aca="false">(E18/$E$30)*$K$12</f>
        <v>1622.5</v>
      </c>
      <c r="I18" s="1" t="s">
        <v>33</v>
      </c>
      <c r="J18" s="1" t="n">
        <v>48400</v>
      </c>
      <c r="K18" s="1" t="n">
        <v>0</v>
      </c>
      <c r="L18" s="1" t="n">
        <f aca="false">J18*K18</f>
        <v>0</v>
      </c>
      <c r="M18" s="23"/>
      <c r="N18" s="23"/>
      <c r="O18" s="41" t="n">
        <f aca="false">$O$30/$H$30*H18</f>
        <v>196.666666666667</v>
      </c>
      <c r="Q18" s="43" t="s">
        <v>76</v>
      </c>
      <c r="R18" s="23"/>
      <c r="S18" s="41" t="n">
        <f aca="false">$S$26/$Q$26*(IF(Q18="incl",0,Q18))</f>
        <v>0</v>
      </c>
      <c r="U18" s="40" t="n">
        <f aca="false">O18-IF(S18="incl",0,S18)</f>
        <v>196.666666666667</v>
      </c>
      <c r="V18" s="42"/>
    </row>
    <row r="19" customFormat="false" ht="12.75" hidden="false" customHeight="false" outlineLevel="0" collapsed="false">
      <c r="A19" s="14" t="s">
        <v>34</v>
      </c>
      <c r="B19" s="15" t="s">
        <v>35</v>
      </c>
      <c r="C19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9" s="18" t="n">
        <f aca="false">((C19/9)*12)-250000-75000</f>
        <v>142873.226666667</v>
      </c>
      <c r="G19" s="17" t="n">
        <f aca="false">E19/$E$24</f>
        <v>0.00655205324702309</v>
      </c>
      <c r="H19" s="40" t="n">
        <f aca="false">(E19/$E$30)*$K$12</f>
        <v>29467.603</v>
      </c>
      <c r="I19" s="1" t="s">
        <v>36</v>
      </c>
      <c r="J19" s="1" t="n">
        <v>49500</v>
      </c>
      <c r="K19" s="1" t="n">
        <v>0</v>
      </c>
      <c r="L19" s="1" t="n">
        <f aca="false">J19*K19</f>
        <v>0</v>
      </c>
      <c r="M19" s="23"/>
      <c r="N19" s="23"/>
      <c r="O19" s="41" t="n">
        <f aca="false">$O$30/$H$30*H19</f>
        <v>3571.83066666667</v>
      </c>
      <c r="Q19" s="43" t="s">
        <v>76</v>
      </c>
      <c r="R19" s="23"/>
      <c r="S19" s="41" t="n">
        <f aca="false">$S$26/$Q$26*(IF(Q19="incl",0,Q19))</f>
        <v>0</v>
      </c>
      <c r="U19" s="40" t="n">
        <f aca="false">O19-IF(S19="incl",0,S19)</f>
        <v>3571.83066666667</v>
      </c>
      <c r="V19" s="42"/>
    </row>
    <row r="20" customFormat="false" ht="12.75" hidden="false" customHeight="false" outlineLevel="0" collapsed="false">
      <c r="A20" s="14" t="s">
        <v>37</v>
      </c>
      <c r="B20" s="15" t="s">
        <v>38</v>
      </c>
      <c r="C20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20" s="18" t="n">
        <f aca="false">((C20/9)*12)-75000-75000-50000-25000</f>
        <v>145613.76</v>
      </c>
      <c r="G20" s="17" t="n">
        <f aca="false">E20/$E$24</f>
        <v>0.00667773193955472</v>
      </c>
      <c r="H20" s="40" t="n">
        <f aca="false">(E20/$E$30)*$K$12</f>
        <v>30032.838</v>
      </c>
      <c r="I20" s="1" t="s">
        <v>39</v>
      </c>
      <c r="J20" s="1" t="n">
        <v>57750</v>
      </c>
      <c r="K20" s="1" t="n">
        <v>0</v>
      </c>
      <c r="L20" s="1" t="n">
        <f aca="false">J20*K20</f>
        <v>0</v>
      </c>
      <c r="M20" s="23"/>
      <c r="N20" s="23"/>
      <c r="O20" s="41" t="n">
        <f aca="false">$O$30/$H$30*H20</f>
        <v>3640.344</v>
      </c>
      <c r="Q20" s="40" t="n">
        <v>80000</v>
      </c>
      <c r="R20" s="23"/>
      <c r="S20" s="41" t="n">
        <f aca="false">$S$26/$Q$26*(IF(Q20="incl",0,Q20))</f>
        <v>45714.2857142857</v>
      </c>
      <c r="U20" s="40" t="n">
        <f aca="false">O20-IF(S20="incl",0,S20)</f>
        <v>-42073.9417142857</v>
      </c>
      <c r="V20" s="42" t="s">
        <v>77</v>
      </c>
    </row>
    <row r="21" customFormat="false" ht="12.75" hidden="false" customHeight="false" outlineLevel="0" collapsed="false">
      <c r="A21" s="14" t="s">
        <v>40</v>
      </c>
      <c r="B21" s="15" t="s">
        <v>41</v>
      </c>
      <c r="C21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1" s="18" t="n">
        <f aca="false">((C21/9)*12)</f>
        <v>21.3333333333333</v>
      </c>
      <c r="G21" s="17" t="n">
        <f aca="false">E21/$E$24</f>
        <v>9.7832980466384E-007</v>
      </c>
      <c r="H21" s="40" t="n">
        <f aca="false">(E21/$E$30)*$K$12</f>
        <v>4.4</v>
      </c>
      <c r="I21" s="1" t="s">
        <v>42</v>
      </c>
      <c r="J21" s="1" t="n">
        <v>71500</v>
      </c>
      <c r="K21" s="1" t="n">
        <v>1</v>
      </c>
      <c r="L21" s="1" t="n">
        <f aca="false">J21*K21</f>
        <v>71500</v>
      </c>
      <c r="M21" s="23"/>
      <c r="N21" s="23"/>
      <c r="O21" s="41" t="n">
        <f aca="false">$O$30/$H$30*H21</f>
        <v>0.533333333333333</v>
      </c>
      <c r="Q21" s="43" t="s">
        <v>76</v>
      </c>
      <c r="R21" s="23"/>
      <c r="S21" s="41" t="n">
        <f aca="false">$S$26/$Q$26*(IF(Q21="incl",0,Q21))</f>
        <v>0</v>
      </c>
      <c r="U21" s="40" t="n">
        <f aca="false">O21-IF(S21="incl",0,S21)</f>
        <v>0.533333333333333</v>
      </c>
      <c r="V21" s="42"/>
    </row>
    <row r="22" customFormat="false" ht="12.75" hidden="false" customHeight="false" outlineLevel="0" collapsed="false">
      <c r="A22" s="14" t="s">
        <v>43</v>
      </c>
      <c r="B22" s="15" t="s">
        <v>44</v>
      </c>
      <c r="C22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2" s="18" t="n">
        <f aca="false">((C22/9)*12)-75000</f>
        <v>181051.88</v>
      </c>
      <c r="G22" s="17" t="n">
        <f aca="false">E22/$E$24</f>
        <v>0.00830289611223848</v>
      </c>
      <c r="H22" s="40" t="n">
        <f aca="false">(E22/$E$30)*$K$12</f>
        <v>37341.95025</v>
      </c>
      <c r="I22" s="1" t="s">
        <v>45</v>
      </c>
      <c r="J22" s="1" t="n">
        <v>60500</v>
      </c>
      <c r="K22" s="1" t="n">
        <v>0</v>
      </c>
      <c r="L22" s="1" t="n">
        <f aca="false">J22*K22</f>
        <v>0</v>
      </c>
      <c r="M22" s="23"/>
      <c r="N22" s="23"/>
      <c r="O22" s="41" t="n">
        <f aca="false">$O$30/$H$30*H22</f>
        <v>4526.297</v>
      </c>
      <c r="P22" s="23"/>
      <c r="Q22" s="40" t="n">
        <v>20000</v>
      </c>
      <c r="R22" s="23"/>
      <c r="S22" s="41" t="n">
        <f aca="false">$S$26/$Q$26*(IF(Q22="incl",0,Q22))</f>
        <v>11428.5714285714</v>
      </c>
      <c r="U22" s="40" t="n">
        <f aca="false">O22-IF(S22="incl",0,S22)</f>
        <v>-6902.27442857143</v>
      </c>
      <c r="V22" s="42"/>
    </row>
    <row r="23" customFormat="false" ht="12.75" hidden="false" customHeight="false" outlineLevel="0" collapsed="false">
      <c r="A23" s="14" t="s">
        <v>46</v>
      </c>
      <c r="B23" s="15" t="s">
        <v>47</v>
      </c>
      <c r="C23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3" s="18" t="n">
        <f aca="false">((C23/9)*12)-1000000-100000</f>
        <v>5242795.57333334</v>
      </c>
      <c r="G23" s="17" t="n">
        <f aca="false">E23/$E$24</f>
        <v>0.240430461053984</v>
      </c>
      <c r="H23" s="40" t="n">
        <f aca="false">(E23/$E$30)*$K$12-1081327</f>
        <v>-0.412999999476597</v>
      </c>
      <c r="I23" s="1" t="s">
        <v>48</v>
      </c>
      <c r="J23" s="1" t="n">
        <v>89100</v>
      </c>
      <c r="K23" s="1" t="n">
        <v>0</v>
      </c>
      <c r="L23" s="1" t="n">
        <f aca="false">J23*K23</f>
        <v>0</v>
      </c>
      <c r="M23" s="23"/>
      <c r="N23" s="23"/>
      <c r="O23" s="41" t="n">
        <f aca="false">$O$30/$H$30*H23</f>
        <v>-0.0500606059971632</v>
      </c>
      <c r="P23" s="23"/>
      <c r="Q23" s="40" t="n">
        <v>0</v>
      </c>
      <c r="R23" s="23"/>
      <c r="S23" s="41" t="n">
        <f aca="false">$S$26/$Q$26*(IF(Q23="incl",0,Q23))</f>
        <v>0</v>
      </c>
      <c r="U23" s="40" t="n">
        <f aca="false">O23-IF(S23="incl",0,S23)</f>
        <v>-0.0500606059971632</v>
      </c>
      <c r="V23" s="42"/>
    </row>
    <row r="24" customFormat="false" ht="12.75" hidden="false" customHeight="false" outlineLevel="0" collapsed="false">
      <c r="A24" s="24" t="s">
        <v>49</v>
      </c>
      <c r="B24" s="25" t="s">
        <v>50</v>
      </c>
      <c r="C24" s="26" t="n">
        <f aca="false">SUM(C8:C23)</f>
        <v>23348090.12</v>
      </c>
      <c r="E24" s="26" t="n">
        <f aca="false">SUM(E8:E23)</f>
        <v>21805870.8133333</v>
      </c>
      <c r="G24" s="27" t="n">
        <f aca="false">E24/$E$24</f>
        <v>1</v>
      </c>
      <c r="H24" s="44" t="n">
        <f aca="false">SUM(H8:H23)</f>
        <v>7267348.98125</v>
      </c>
      <c r="I24" s="1" t="s">
        <v>51</v>
      </c>
      <c r="J24" s="1" t="n">
        <v>110000</v>
      </c>
      <c r="K24" s="1" t="n">
        <v>11</v>
      </c>
      <c r="L24" s="1" t="n">
        <f aca="false">J24*K24</f>
        <v>1210000</v>
      </c>
      <c r="M24" s="23"/>
      <c r="N24" s="23"/>
      <c r="O24" s="45" t="n">
        <f aca="false">SUM(O8:O23)</f>
        <v>880890.785606061</v>
      </c>
      <c r="P24" s="23"/>
      <c r="Q24" s="44" t="n">
        <f aca="false">SUM(Q8:Q23)</f>
        <v>2606633</v>
      </c>
      <c r="R24" s="23"/>
      <c r="S24" s="45" t="n">
        <f aca="false">SUM(S8:S23)</f>
        <v>1336590.28571429</v>
      </c>
      <c r="U24" s="44" t="n">
        <f aca="false">SUM(U8:U23)</f>
        <v>-455699.500108225</v>
      </c>
      <c r="V24" s="45"/>
    </row>
    <row r="25" customFormat="false" ht="12.75" hidden="false" customHeight="false" outlineLevel="0" collapsed="false">
      <c r="H25" s="46"/>
      <c r="I25" s="1" t="s">
        <v>52</v>
      </c>
      <c r="J25" s="1" t="n">
        <v>143000</v>
      </c>
      <c r="K25" s="1" t="n">
        <v>14</v>
      </c>
      <c r="L25" s="1" t="n">
        <f aca="false">J25*K25</f>
        <v>2002000</v>
      </c>
      <c r="M25" s="23"/>
      <c r="N25" s="23"/>
      <c r="O25" s="47"/>
      <c r="P25" s="23"/>
      <c r="Q25" s="46"/>
      <c r="R25" s="23"/>
      <c r="S25" s="47"/>
      <c r="U25" s="46"/>
      <c r="V25" s="47"/>
    </row>
    <row r="26" customFormat="false" ht="12.75" hidden="false" customHeight="false" outlineLevel="0" collapsed="false">
      <c r="B26" s="25" t="s">
        <v>53</v>
      </c>
      <c r="C26" s="16"/>
      <c r="E26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6" s="48" t="n">
        <f aca="false">+K17+K18+K19+K20+K21+K24+K25+K26+K27+K28</f>
        <v>33</v>
      </c>
      <c r="I26" s="1" t="s">
        <v>54</v>
      </c>
      <c r="J26" s="1" t="n">
        <v>165000</v>
      </c>
      <c r="K26" s="1" t="n">
        <v>0</v>
      </c>
      <c r="L26" s="1" t="n">
        <f aca="false">J26*K26</f>
        <v>0</v>
      </c>
      <c r="M26" s="23"/>
      <c r="N26" s="23"/>
      <c r="O26" s="49" t="n">
        <f aca="false">O47+O48+O49+O52</f>
        <v>4</v>
      </c>
      <c r="P26" s="23"/>
      <c r="Q26" s="48" t="n">
        <f aca="false">Q47+Q48+Q49+Q52</f>
        <v>7</v>
      </c>
      <c r="R26" s="23"/>
      <c r="S26" s="49" t="n">
        <f aca="false">S47+S48+S49+S52</f>
        <v>4</v>
      </c>
      <c r="U26" s="48" t="n">
        <f aca="false">O26-S26</f>
        <v>0</v>
      </c>
      <c r="V26" s="49"/>
    </row>
    <row r="27" customFormat="false" ht="12.75" hidden="false" customHeight="false" outlineLevel="0" collapsed="false">
      <c r="C27" s="16"/>
      <c r="E27" s="16"/>
      <c r="H27" s="40"/>
      <c r="I27" s="1" t="s">
        <v>55</v>
      </c>
      <c r="J27" s="1" t="n">
        <v>198000</v>
      </c>
      <c r="K27" s="1" t="n">
        <v>6</v>
      </c>
      <c r="L27" s="1" t="n">
        <f aca="false">J27*K27</f>
        <v>1188000</v>
      </c>
      <c r="M27" s="23"/>
      <c r="N27" s="23"/>
      <c r="O27" s="41"/>
      <c r="P27" s="23"/>
      <c r="Q27" s="40"/>
      <c r="R27" s="23"/>
      <c r="S27" s="41"/>
      <c r="U27" s="40"/>
      <c r="V27" s="41"/>
    </row>
    <row r="28" customFormat="false" ht="12.75" hidden="false" customHeight="false" outlineLevel="0" collapsed="false">
      <c r="B28" s="25" t="s">
        <v>56</v>
      </c>
      <c r="C28" s="16"/>
      <c r="E28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8" s="48" t="n">
        <f aca="false">+K22+K23</f>
        <v>0</v>
      </c>
      <c r="I28" s="1" t="s">
        <v>57</v>
      </c>
      <c r="J28" s="1" t="n">
        <v>220000</v>
      </c>
      <c r="K28" s="1" t="n">
        <v>1</v>
      </c>
      <c r="L28" s="1" t="n">
        <f aca="false">J28*K28</f>
        <v>220000</v>
      </c>
      <c r="M28" s="23"/>
      <c r="N28" s="23"/>
      <c r="O28" s="49" t="n">
        <f aca="false">O50+O51</f>
        <v>0</v>
      </c>
      <c r="P28" s="23"/>
      <c r="Q28" s="48" t="n">
        <f aca="false">Q50+Q51</f>
        <v>2</v>
      </c>
      <c r="R28" s="23"/>
      <c r="S28" s="49" t="n">
        <f aca="false">S50+S51</f>
        <v>0</v>
      </c>
      <c r="U28" s="48" t="n">
        <f aca="false">O28-S28</f>
        <v>0</v>
      </c>
      <c r="V28" s="49"/>
    </row>
    <row r="29" customFormat="false" ht="12.75" hidden="false" customHeight="false" outlineLevel="0" collapsed="false">
      <c r="H29" s="46"/>
      <c r="K29" s="1" t="n">
        <f aca="false">SUM(K17:K28)</f>
        <v>33</v>
      </c>
      <c r="L29" s="1" t="n">
        <f aca="false">SUM(L17:L28)*1.2</f>
        <v>5629800</v>
      </c>
      <c r="M29" s="23"/>
      <c r="N29" s="23"/>
      <c r="O29" s="47"/>
      <c r="P29" s="23"/>
      <c r="Q29" s="46"/>
      <c r="R29" s="23"/>
      <c r="S29" s="47"/>
      <c r="U29" s="46"/>
      <c r="V29" s="47"/>
    </row>
    <row r="30" customFormat="false" ht="12.75" hidden="false" customHeight="false" outlineLevel="0" collapsed="false">
      <c r="B30" s="25" t="s">
        <v>58</v>
      </c>
      <c r="C30" s="16"/>
      <c r="E30" s="29" t="n">
        <f aca="false">SUM(E26:E28)</f>
        <v>160</v>
      </c>
      <c r="G30" s="1"/>
      <c r="H30" s="48" t="n">
        <f aca="false">SUM(H26:H28)</f>
        <v>33</v>
      </c>
      <c r="L30" s="30" t="n">
        <v>0.2</v>
      </c>
      <c r="M30" s="23"/>
      <c r="N30" s="23"/>
      <c r="O30" s="49" t="n">
        <f aca="false">O26+O28</f>
        <v>4</v>
      </c>
      <c r="P30" s="23"/>
      <c r="Q30" s="48" t="n">
        <f aca="false">Q26+Q28</f>
        <v>9</v>
      </c>
      <c r="R30" s="23"/>
      <c r="S30" s="49" t="n">
        <f aca="false">S26+S28</f>
        <v>4</v>
      </c>
      <c r="U30" s="48" t="n">
        <f aca="false">O30-S30</f>
        <v>0</v>
      </c>
      <c r="V30" s="49"/>
    </row>
    <row r="31" customFormat="false" ht="12.75" hidden="true" customHeight="false" outlineLevel="0" collapsed="false">
      <c r="H31" s="46"/>
      <c r="L31" s="1" t="n">
        <f aca="false">L29*1.2</f>
        <v>6755760</v>
      </c>
      <c r="M31" s="23"/>
      <c r="N31" s="23"/>
      <c r="O31" s="47"/>
      <c r="P31" s="23"/>
      <c r="Q31" s="46"/>
      <c r="R31" s="23"/>
      <c r="S31" s="47"/>
      <c r="U31" s="46"/>
      <c r="V31" s="42"/>
    </row>
    <row r="32" customFormat="false" ht="12.75" hidden="true" customHeight="false" outlineLevel="0" collapsed="false">
      <c r="H32" s="50" t="s">
        <v>59</v>
      </c>
      <c r="L32" s="23"/>
      <c r="M32" s="23"/>
      <c r="N32" s="23"/>
      <c r="O32" s="47"/>
      <c r="P32" s="23"/>
      <c r="Q32" s="46"/>
      <c r="R32" s="23"/>
      <c r="S32" s="47"/>
      <c r="U32" s="46"/>
      <c r="V32" s="42"/>
    </row>
    <row r="33" customFormat="false" ht="12.75" hidden="true" customHeight="false" outlineLevel="0" collapsed="false">
      <c r="B33" s="15" t="s">
        <v>25</v>
      </c>
      <c r="C33" s="16" t="n">
        <v>254512</v>
      </c>
      <c r="H33" s="46"/>
      <c r="L33" s="23"/>
      <c r="M33" s="23"/>
      <c r="N33" s="23"/>
      <c r="O33" s="47"/>
      <c r="P33" s="23"/>
      <c r="Q33" s="46"/>
      <c r="R33" s="23"/>
      <c r="S33" s="47"/>
      <c r="U33" s="46"/>
      <c r="V33" s="42"/>
    </row>
    <row r="34" customFormat="false" ht="12.75" hidden="true" customHeight="false" outlineLevel="0" collapsed="false">
      <c r="H34" s="51" t="s">
        <v>60</v>
      </c>
      <c r="I34" s="33" t="s">
        <v>61</v>
      </c>
      <c r="J34" s="33" t="s">
        <v>62</v>
      </c>
      <c r="K34" s="33" t="s">
        <v>3</v>
      </c>
      <c r="L34" s="33" t="s">
        <v>63</v>
      </c>
      <c r="M34" s="23"/>
      <c r="N34" s="23"/>
      <c r="O34" s="47"/>
      <c r="P34" s="23"/>
      <c r="Q34" s="46"/>
      <c r="R34" s="23"/>
      <c r="S34" s="47"/>
      <c r="U34" s="46"/>
      <c r="V34" s="42"/>
    </row>
    <row r="35" customFormat="false" ht="12.75" hidden="true" customHeight="false" outlineLevel="0" collapsed="false">
      <c r="H35" s="52" t="n">
        <f aca="false">SUM(E13:E23)</f>
        <v>7723229</v>
      </c>
      <c r="I35" s="33" t="n">
        <f aca="false">+E30</f>
        <v>160</v>
      </c>
      <c r="J35" s="33" t="n">
        <f aca="false">+H35/I35</f>
        <v>48270.18125</v>
      </c>
      <c r="K35" s="33" t="n">
        <f aca="false">+K12</f>
        <v>33</v>
      </c>
      <c r="L35" s="33" t="n">
        <f aca="false">+J35*K35</f>
        <v>1592915.98125</v>
      </c>
      <c r="M35" s="23"/>
      <c r="N35" s="23"/>
      <c r="O35" s="47"/>
      <c r="P35" s="23"/>
      <c r="Q35" s="46"/>
      <c r="R35" s="23"/>
      <c r="S35" s="47"/>
      <c r="U35" s="46"/>
      <c r="V35" s="42"/>
    </row>
    <row r="36" customFormat="false" ht="12.75" hidden="true" customHeight="false" outlineLevel="0" collapsed="false">
      <c r="H36" s="46"/>
      <c r="M36" s="23"/>
      <c r="N36" s="23"/>
      <c r="O36" s="47"/>
      <c r="P36" s="23"/>
      <c r="Q36" s="46"/>
      <c r="R36" s="23"/>
      <c r="S36" s="47"/>
      <c r="U36" s="46"/>
      <c r="V36" s="42"/>
    </row>
    <row r="37" customFormat="false" ht="12.75" hidden="true" customHeight="false" outlineLevel="0" collapsed="false">
      <c r="H37" s="46"/>
      <c r="M37" s="23"/>
      <c r="N37" s="23"/>
      <c r="O37" s="47"/>
      <c r="P37" s="23"/>
      <c r="Q37" s="46"/>
      <c r="R37" s="23"/>
      <c r="S37" s="47"/>
      <c r="U37" s="46"/>
      <c r="V37" s="42"/>
    </row>
    <row r="38" customFormat="false" ht="12.75" hidden="true" customHeight="false" outlineLevel="0" collapsed="false">
      <c r="H38" s="46"/>
      <c r="M38" s="23"/>
      <c r="N38" s="23"/>
      <c r="O38" s="47"/>
      <c r="P38" s="23"/>
      <c r="Q38" s="46"/>
      <c r="R38" s="23"/>
      <c r="S38" s="47"/>
      <c r="U38" s="46"/>
      <c r="V38" s="42"/>
    </row>
    <row r="39" customFormat="false" ht="12.75" hidden="true" customHeight="false" outlineLevel="0" collapsed="false">
      <c r="H39" s="46"/>
      <c r="M39" s="23"/>
      <c r="N39" s="23"/>
      <c r="O39" s="47"/>
      <c r="P39" s="23"/>
      <c r="Q39" s="46"/>
      <c r="R39" s="23"/>
      <c r="S39" s="47"/>
      <c r="U39" s="46"/>
      <c r="V39" s="42"/>
    </row>
    <row r="40" customFormat="false" ht="13.5" hidden="false" customHeight="false" outlineLevel="0" collapsed="false">
      <c r="H40" s="53"/>
      <c r="I40" s="20"/>
      <c r="J40" s="20"/>
      <c r="K40" s="20"/>
      <c r="L40" s="20"/>
      <c r="M40" s="54"/>
      <c r="N40" s="54"/>
      <c r="O40" s="55"/>
      <c r="P40" s="23"/>
      <c r="Q40" s="53"/>
      <c r="R40" s="54"/>
      <c r="S40" s="55"/>
      <c r="U40" s="53"/>
      <c r="V40" s="56"/>
    </row>
    <row r="41" customFormat="false" ht="13.5" hidden="false" customHeight="false" outlineLevel="0" collapsed="false">
      <c r="H41" s="23"/>
      <c r="M41" s="23"/>
      <c r="N41" s="23"/>
      <c r="O41" s="23"/>
      <c r="P41" s="23"/>
      <c r="Q41" s="23"/>
      <c r="R41" s="23"/>
      <c r="S41" s="23"/>
      <c r="U41" s="23"/>
    </row>
    <row r="42" customFormat="false" ht="12.75" hidden="false" customHeight="false" outlineLevel="0" collapsed="false">
      <c r="B42" s="25" t="s">
        <v>78</v>
      </c>
      <c r="H42" s="57" t="s">
        <v>79</v>
      </c>
      <c r="I42" s="58"/>
      <c r="J42" s="58"/>
      <c r="K42" s="58"/>
      <c r="L42" s="58"/>
      <c r="M42" s="58"/>
      <c r="N42" s="58"/>
      <c r="O42" s="59" t="s">
        <v>80</v>
      </c>
      <c r="P42" s="15"/>
      <c r="Q42" s="57" t="s">
        <v>81</v>
      </c>
      <c r="R42" s="58"/>
      <c r="S42" s="59" t="s">
        <v>82</v>
      </c>
      <c r="T42" s="15"/>
      <c r="U42" s="15"/>
      <c r="V42" s="15"/>
      <c r="W42" s="15"/>
      <c r="X42" s="15" t="s">
        <v>80</v>
      </c>
    </row>
    <row r="43" customFormat="false" ht="12.75" hidden="false" customHeight="false" outlineLevel="0" collapsed="false">
      <c r="H43" s="60" t="s">
        <v>83</v>
      </c>
      <c r="I43" s="15"/>
      <c r="J43" s="15"/>
      <c r="K43" s="15"/>
      <c r="L43" s="15"/>
      <c r="M43" s="15"/>
      <c r="N43" s="15"/>
      <c r="O43" s="61" t="s">
        <v>84</v>
      </c>
      <c r="P43" s="15"/>
      <c r="Q43" s="60" t="s">
        <v>85</v>
      </c>
      <c r="R43" s="15"/>
      <c r="S43" s="61" t="s">
        <v>86</v>
      </c>
      <c r="T43" s="15"/>
      <c r="U43" s="15"/>
      <c r="V43" s="15"/>
      <c r="W43" s="15"/>
      <c r="X43" s="15" t="s">
        <v>84</v>
      </c>
    </row>
    <row r="44" customFormat="false" ht="13.5" hidden="false" customHeight="false" outlineLevel="0" collapsed="false">
      <c r="H44" s="62"/>
      <c r="I44" s="63"/>
      <c r="J44" s="63"/>
      <c r="K44" s="63"/>
      <c r="L44" s="63"/>
      <c r="M44" s="63"/>
      <c r="N44" s="63"/>
      <c r="O44" s="64"/>
      <c r="P44" s="15"/>
      <c r="Q44" s="62"/>
      <c r="R44" s="63"/>
      <c r="S44" s="64"/>
      <c r="T44" s="15"/>
      <c r="U44" s="15"/>
    </row>
    <row r="45" customFormat="false" ht="13.5" hidden="false" customHeight="false" outlineLevel="0" collapsed="false"/>
    <row r="46" customFormat="false" ht="12.75" hidden="false" customHeight="false" outlineLevel="0" collapsed="false">
      <c r="B46" s="13" t="s">
        <v>87</v>
      </c>
      <c r="H46" s="65"/>
      <c r="I46" s="8"/>
      <c r="J46" s="8"/>
      <c r="K46" s="8"/>
      <c r="L46" s="8"/>
      <c r="M46" s="36"/>
      <c r="N46" s="36"/>
      <c r="O46" s="66"/>
      <c r="Q46" s="65"/>
      <c r="R46" s="36"/>
      <c r="S46" s="66"/>
    </row>
    <row r="47" customFormat="false" ht="12.75" hidden="false" customHeight="false" outlineLevel="0" collapsed="false">
      <c r="B47" s="15" t="s">
        <v>88</v>
      </c>
      <c r="C47" s="16" t="n">
        <f aca="false">'[2]Central Trading'!C42+'[2]Central Origination'!C42+[2]Derivatives!C42+'[2]East Trading'!C42+'[2]East Origination'!C42+'[2]Financial Gas'!C42+[2]Structuring!C42+'[2]Texas Trading'!C42+'[2]Texas Origination'!C42+'[2]West Trading'!C42+'[2]West Origination'!C42+[2]Fundamentals!C42</f>
        <v>0</v>
      </c>
      <c r="E47" s="16" t="n">
        <f aca="false">((C47/9)*12)</f>
        <v>0</v>
      </c>
      <c r="G47" s="17" t="n">
        <f aca="false">E47/$E$24</f>
        <v>0</v>
      </c>
      <c r="H47" s="46"/>
      <c r="M47" s="23"/>
      <c r="N47" s="23"/>
      <c r="O47" s="67" t="n">
        <v>1</v>
      </c>
      <c r="Q47" s="43" t="n">
        <v>1</v>
      </c>
      <c r="R47" s="23"/>
      <c r="S47" s="67" t="n">
        <v>1</v>
      </c>
    </row>
    <row r="48" customFormat="false" ht="12.75" hidden="false" customHeight="false" outlineLevel="0" collapsed="false">
      <c r="B48" s="15" t="s">
        <v>52</v>
      </c>
      <c r="C48" s="16" t="n">
        <f aca="false">'[2]Central Trading'!C43+'[2]Central Origination'!C43+[2]Derivatives!C43+'[2]East Trading'!C43+'[2]East Origination'!C43+'[2]Financial Gas'!C43+[2]Structuring!C43+'[2]Texas Trading'!C43+'[2]Texas Origination'!C43+'[2]West Trading'!C43+'[2]West Origination'!C43+[2]Fundamentals!C43</f>
        <v>0</v>
      </c>
      <c r="E48" s="16" t="n">
        <v>0</v>
      </c>
      <c r="G48" s="17" t="n">
        <f aca="false">E48/$E$24</f>
        <v>0</v>
      </c>
      <c r="H48" s="46"/>
      <c r="M48" s="23"/>
      <c r="N48" s="23"/>
      <c r="O48" s="67" t="n">
        <v>1</v>
      </c>
      <c r="Q48" s="43" t="n">
        <v>4</v>
      </c>
      <c r="R48" s="23"/>
      <c r="S48" s="67" t="n">
        <v>1</v>
      </c>
    </row>
    <row r="49" customFormat="false" ht="12.75" hidden="false" customHeight="false" outlineLevel="0" collapsed="false">
      <c r="B49" s="15" t="s">
        <v>51</v>
      </c>
      <c r="C49" s="16"/>
      <c r="E49" s="16"/>
      <c r="G49" s="17"/>
      <c r="H49" s="46"/>
      <c r="M49" s="23"/>
      <c r="N49" s="23"/>
      <c r="O49" s="67" t="n">
        <v>2</v>
      </c>
      <c r="Q49" s="43" t="n">
        <v>1</v>
      </c>
      <c r="R49" s="23"/>
      <c r="S49" s="67" t="n">
        <v>2</v>
      </c>
    </row>
    <row r="50" customFormat="false" ht="12.75" hidden="false" customHeight="false" outlineLevel="0" collapsed="false">
      <c r="B50" s="15" t="s">
        <v>48</v>
      </c>
      <c r="C50" s="16" t="n">
        <f aca="false">'[2]Central Trading'!C44+'[2]Central Origination'!C44+[2]Derivatives!C44+'[2]East Trading'!C44+'[2]East Origination'!C44+'[2]Financial Gas'!C44+[2]Structuring!C44+'[2]Texas Trading'!C44+'[2]Texas Origination'!C44+'[2]West Trading'!C44+'[2]West Origination'!C44+[2]Fundamentals!C44</f>
        <v>0</v>
      </c>
      <c r="D50" s="16"/>
      <c r="E50" s="16" t="n">
        <f aca="false">('[2]Central Trading'!E43+'[2]Central Origination'!E44+[2]Derivatives!E44+'[2]East Trading'!E44+'[2]East Origination'!E44+'[2]Financial Gas'!E44+[2]Structuring!E44+'[2]Texas Trading'!E44+'[2]Texas Origination'!E44+'[2]West Trading'!E44+'[2]West Origination'!E44+[2]Fundamentals!E44)-4000000</f>
        <v>-4000000</v>
      </c>
      <c r="G50" s="17" t="n">
        <f aca="false">E50/$E$24</f>
        <v>-0.18343683837447</v>
      </c>
      <c r="H50" s="46"/>
      <c r="M50" s="23"/>
      <c r="N50" s="23"/>
      <c r="O50" s="67" t="n">
        <v>0</v>
      </c>
      <c r="Q50" s="43" t="n">
        <v>1</v>
      </c>
      <c r="R50" s="23"/>
      <c r="S50" s="67" t="n">
        <v>0</v>
      </c>
    </row>
    <row r="51" customFormat="false" ht="12.75" hidden="false" customHeight="false" outlineLevel="0" collapsed="false">
      <c r="B51" s="15" t="s">
        <v>45</v>
      </c>
      <c r="C51" s="16" t="n">
        <f aca="false">'[2]Central Trading'!C45+'[2]Central Origination'!C45+[2]Derivatives!C45+'[2]East Trading'!C45+'[2]East Origination'!C45+'[2]Financial Gas'!C45+[2]Structuring!C45+'[2]Texas Trading'!C45+'[2]Texas Origination'!C45+'[2]West Trading'!C45+'[2]West Origination'!C45+[2]Fundamentals!C45</f>
        <v>0</v>
      </c>
      <c r="E51" s="16" t="n">
        <f aca="false">((C51/9)*12)</f>
        <v>0</v>
      </c>
      <c r="G51" s="17" t="n">
        <f aca="false">E51/$E$24</f>
        <v>0</v>
      </c>
      <c r="H51" s="46"/>
      <c r="M51" s="23"/>
      <c r="N51" s="23"/>
      <c r="O51" s="67" t="n">
        <v>0</v>
      </c>
      <c r="Q51" s="43" t="n">
        <v>1</v>
      </c>
      <c r="R51" s="23"/>
      <c r="S51" s="67" t="n">
        <v>0</v>
      </c>
    </row>
    <row r="52" customFormat="false" ht="15" hidden="false" customHeight="false" outlineLevel="0" collapsed="false">
      <c r="B52" s="15" t="s">
        <v>33</v>
      </c>
      <c r="C52" s="16" t="n">
        <f aca="false">'[2]Central Trading'!C46+'[2]Central Origination'!C46+[2]Derivatives!C46+'[2]East Trading'!C46+'[2]East Origination'!C46+'[2]Financial Gas'!C46+[2]Structuring!C46+'[2]Texas Trading'!C46+'[2]Texas Origination'!C46+'[2]West Trading'!C46+'[2]West Origination'!C46+[2]Fundamentals!C46</f>
        <v>0</v>
      </c>
      <c r="E52" s="18" t="n">
        <f aca="false">((C52/9)*12)-500000</f>
        <v>-500000</v>
      </c>
      <c r="G52" s="17" t="n">
        <f aca="false">E52/$E$24</f>
        <v>-0.0229296047968088</v>
      </c>
      <c r="H52" s="46"/>
      <c r="M52" s="23"/>
      <c r="N52" s="23"/>
      <c r="O52" s="68" t="n">
        <v>0</v>
      </c>
      <c r="Q52" s="69" t="n">
        <v>1</v>
      </c>
      <c r="R52" s="23"/>
      <c r="S52" s="68" t="n">
        <v>0</v>
      </c>
    </row>
    <row r="53" customFormat="false" ht="13.5" hidden="false" customHeight="false" outlineLevel="0" collapsed="false">
      <c r="B53" s="70" t="s">
        <v>23</v>
      </c>
      <c r="C53" s="71"/>
      <c r="D53" s="71"/>
      <c r="E53" s="71"/>
      <c r="F53" s="71"/>
      <c r="G53" s="71"/>
      <c r="H53" s="53"/>
      <c r="I53" s="20"/>
      <c r="J53" s="20"/>
      <c r="K53" s="20"/>
      <c r="L53" s="20"/>
      <c r="M53" s="54"/>
      <c r="N53" s="54"/>
      <c r="O53" s="72" t="n">
        <f aca="false">SUM(O47:O52)</f>
        <v>4</v>
      </c>
      <c r="Q53" s="73" t="n">
        <f aca="false">SUM(Q47:Q52)</f>
        <v>9</v>
      </c>
      <c r="R53" s="54"/>
      <c r="S53" s="72" t="n">
        <f aca="false">SUM(S47:S52)</f>
        <v>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329861111111111" right="0.359722222222222" top="0.49027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89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179520</v>
      </c>
      <c r="I8" s="10" t="s">
        <v>13</v>
      </c>
      <c r="J8" s="1" t="n">
        <v>0</v>
      </c>
      <c r="L8" s="11" t="n">
        <f aca="false">L30</f>
        <v>1292544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215424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1871786.175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1478576.175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0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1077120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1292544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90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696960</v>
      </c>
      <c r="I8" s="10" t="s">
        <v>13</v>
      </c>
      <c r="J8" s="1" t="n">
        <v>0</v>
      </c>
      <c r="L8" s="11" t="n">
        <f aca="false">L30</f>
        <v>836352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139392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1415594.175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1022384.175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12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696960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836352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2002-01-02T13:16:57Z</dcterms:created>
  <dc:creator>dvandor</dc:creator>
  <dc:description/>
  <dc:language>en-US</dc:language>
  <cp:lastModifiedBy>tmartin</cp:lastModifiedBy>
  <cp:lastPrinted>2002-01-02T15:56:13Z</cp:lastPrinted>
  <dcterms:modified xsi:type="dcterms:W3CDTF">2002-01-02T16:05:03Z</dcterms:modified>
  <cp:revision>0</cp:revision>
  <dc:subject/>
  <dc:title/>
</cp:coreProperties>
</file>