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" sheetId="1" state="visible" r:id="rId3"/>
    <sheet name="Natural Gas Trading" sheetId="2" state="visible" r:id="rId4"/>
    <sheet name="Natural Gas Orig" sheetId="3" state="visible" r:id="rId5"/>
    <sheet name="Natural Gas A&amp;A" sheetId="4" state="visible" r:id="rId6"/>
    <sheet name="Natural Gas Admin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'Natural Gas'!$B$1:$L$34</definedName>
    <definedName function="false" hidden="false" localSheetId="3" name="_xlnm.Print_Area" vbProcedure="false">'Natural Gas A&amp;A'!$B$1:$L$34</definedName>
    <definedName function="false" hidden="false" localSheetId="4" name="_xlnm.Print_Area" vbProcedure="false">'Natural Gas Admin'!$B$1:$L$34</definedName>
    <definedName function="false" hidden="false" localSheetId="2" name="_xlnm.Print_Area" vbProcedure="false">'Natural Gas Orig'!$B$1:$L$34</definedName>
    <definedName function="false" hidden="false" localSheetId="1" name="_xlnm.Print_Area" vbProcedure="false">'Natural Gas Trading'!$B$1:$X$49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<sst xmlns="http://schemas.openxmlformats.org/spreadsheetml/2006/main" count="373" uniqueCount="93">
  <si>
    <t xml:space="preserve">Natural Gas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</si>
  <si>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</si>
  <si>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</si>
  <si>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</si>
  <si>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</si>
  <si>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</si>
  <si>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</si>
  <si>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</si>
  <si>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</si>
  <si>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</si>
  <si>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</si>
  <si>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</si>
  <si>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</si>
  <si>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</si>
  <si>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</si>
  <si>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</si>
  <si>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</si>
  <si>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</si>
  <si>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</si>
  <si>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</si>
  <si>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</si>
  <si>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</si>
  <si>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</si>
  <si>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</si>
  <si>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</si>
  <si>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</si>
  <si>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</si>
  <si>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</si>
  <si>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</si>
  <si>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</si>
  <si>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</si>
  <si>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</si>
  <si>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</si>
  <si>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</si>
  <si>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</si>
  <si>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</si>
  <si>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</si>
  <si>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</si>
  <si>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</si>
  <si>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</si>
  <si>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</si>
  <si>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</si>
  <si>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</si>
  <si>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</si>
  <si>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</si>
  <si>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</si>
  <si>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</si>
  <si>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</si>
  <si>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</si>
  <si>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</si>
  <si>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</si>
  <si>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</si>
  <si>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</si>
  <si>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</si>
  <si>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</si>
  <si>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</si>
  <si>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</si>
  <si>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</si>
  <si>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</si>
  <si>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</si>
  <si>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</si>
  <si>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</si>
  <si>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</si>
  <si>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</si>
  <si>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</si>
  <si>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A</t>
  </si>
  <si>
    <t xml:space="preserve">B</t>
  </si>
  <si>
    <t xml:space="preserve">Revised</t>
  </si>
  <si>
    <t xml:space="preserve">A - B</t>
  </si>
  <si>
    <t xml:space="preserve">Total Trading Plan</t>
  </si>
  <si>
    <t xml:space="preserve">TX Allocated Plan</t>
  </si>
  <si>
    <t xml:space="preserve">TX Plan 09/01</t>
  </si>
  <si>
    <t xml:space="preserve">TX Plan 09/01 Adj.</t>
  </si>
  <si>
    <t xml:space="preserve">Variance</t>
  </si>
  <si>
    <t xml:space="preserve">Comments</t>
  </si>
  <si>
    <t xml:space="preserve">Seems more reasonable based on 9/01 detail</t>
  </si>
  <si>
    <t xml:space="preserve">Not applicable to me</t>
  </si>
  <si>
    <t xml:space="preserve">Controllable Infra.and System Dev.not included</t>
  </si>
  <si>
    <t xml:space="preserve">Administration</t>
  </si>
  <si>
    <t xml:space="preserve">Tom Martin</t>
  </si>
  <si>
    <t xml:space="preserve">Jim Schwieger</t>
  </si>
  <si>
    <t xml:space="preserve">Mgr</t>
  </si>
  <si>
    <t xml:space="preserve">Dave Baumbach</t>
  </si>
  <si>
    <t xml:space="preserve">Support Mgr. to move to Assoc</t>
  </si>
  <si>
    <t xml:space="preserve">Assoc</t>
  </si>
  <si>
    <t xml:space="preserve">Charlie Weldon</t>
  </si>
  <si>
    <t xml:space="preserve">Eric Bass</t>
  </si>
  <si>
    <t xml:space="preserve">To move to Comm. Mgr.</t>
  </si>
  <si>
    <t xml:space="preserve">Laura Vuittonet</t>
  </si>
  <si>
    <t xml:space="preserve">Not in compensation number</t>
  </si>
  <si>
    <t xml:space="preserve">Natural Gas Origination</t>
  </si>
  <si>
    <t xml:space="preserve">Natural Gas Analyst &amp; Associate</t>
  </si>
  <si>
    <t xml:space="preserve">Natural Gas Admins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</si>
</sst>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  <numFmt numFmtId="174" formatCode="_(* #,##0_);_(* \(#,##0\);_(* \-_);_(@_)"/>
    <numFmt numFmtId="175" formatCode="_(\$* #,##0_);_(\$* \(#,##0\);_(\$* \-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u val="single"/>
      <sz val="10"/>
      <name val="Arial Narrow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49" activeCellId="0" sqref="U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4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85"/>
    <col collapsed="false" customWidth="true" hidden="false" outlineLevel="0" max="16" min="16" style="0" width="13.14"/>
    <col collapsed="false" customWidth="true" hidden="false" outlineLevel="0" max="17" min="17" style="0" width="2.42"/>
    <col collapsed="false" customWidth="true" hidden="false" outlineLevel="0" max="18" min="18" style="0" width="10.71"/>
    <col collapsed="false" customWidth="true" hidden="false" outlineLevel="0" max="19" min="19" style="0" width="14.56"/>
    <col collapsed="false" customWidth="true" hidden="false" outlineLevel="0" max="20" min="20" style="0" width="10.4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3.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P5" s="35" t="s">
        <v>65</v>
      </c>
      <c r="S5" s="35" t="s">
        <v>66</v>
      </c>
      <c r="Z5" s="36" t="s">
        <v>67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37" t="s">
        <v>7</v>
      </c>
      <c r="I6" s="38"/>
      <c r="J6" s="39"/>
      <c r="K6" s="39"/>
      <c r="L6" s="40"/>
      <c r="M6" s="41"/>
      <c r="N6" s="41"/>
      <c r="O6" s="42"/>
      <c r="P6" s="43" t="s">
        <v>7</v>
      </c>
      <c r="Q6" s="44"/>
      <c r="R6" s="37" t="s">
        <v>7</v>
      </c>
      <c r="S6" s="43" t="s">
        <v>7</v>
      </c>
      <c r="T6" s="45" t="s">
        <v>68</v>
      </c>
      <c r="Z6" s="12" t="s">
        <v>7</v>
      </c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46" t="s">
        <v>69</v>
      </c>
      <c r="I7" s="47"/>
      <c r="J7" s="48"/>
      <c r="K7" s="48"/>
      <c r="L7" s="49"/>
      <c r="M7" s="50"/>
      <c r="N7" s="50"/>
      <c r="O7" s="51"/>
      <c r="P7" s="52" t="s">
        <v>70</v>
      </c>
      <c r="Q7" s="53"/>
      <c r="R7" s="46" t="s">
        <v>71</v>
      </c>
      <c r="S7" s="52" t="s">
        <v>72</v>
      </c>
      <c r="T7" s="54" t="s">
        <v>73</v>
      </c>
      <c r="V7" s="55" t="s">
        <v>74</v>
      </c>
      <c r="Z7" s="13" t="s">
        <v>11</v>
      </c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56" t="n">
        <f aca="false">L30-H10</f>
        <v>5652900</v>
      </c>
      <c r="I8" s="10" t="s">
        <v>13</v>
      </c>
      <c r="J8" s="1" t="n">
        <v>0</v>
      </c>
      <c r="L8" s="11" t="n">
        <f aca="false">L32</f>
        <v>6783480</v>
      </c>
      <c r="M8" s="57"/>
      <c r="N8" s="57"/>
      <c r="O8" s="58" t="n">
        <f aca="false">H8/$H$25</f>
        <v>171300</v>
      </c>
      <c r="P8" s="59" t="n">
        <v>642840</v>
      </c>
      <c r="Q8" s="58"/>
      <c r="R8" s="60" t="n">
        <f aca="false">740264+40000</f>
        <v>780264</v>
      </c>
      <c r="S8" s="61" t="n">
        <v>642840</v>
      </c>
      <c r="T8" s="62" t="n">
        <f aca="false">P8-S8</f>
        <v>0</v>
      </c>
      <c r="Z8" s="63" t="n">
        <f aca="false">(180000+180000+100000+45000)</f>
        <v>505000</v>
      </c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56" t="n">
        <v>0</v>
      </c>
      <c r="I9" s="10"/>
      <c r="L9" s="11"/>
      <c r="M9" s="57"/>
      <c r="N9" s="57"/>
      <c r="O9" s="58" t="n">
        <f aca="false">H9/$H$25</f>
        <v>0</v>
      </c>
      <c r="P9" s="59" t="n">
        <f aca="false">O9*2</f>
        <v>0</v>
      </c>
      <c r="Q9" s="58"/>
      <c r="R9" s="60"/>
      <c r="S9" s="61"/>
      <c r="T9" s="62" t="n">
        <f aca="false">P9-S9</f>
        <v>0</v>
      </c>
      <c r="Z9" s="63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56" t="n">
        <f aca="false">L21+L22</f>
        <v>0</v>
      </c>
      <c r="I10" s="10"/>
      <c r="L10" s="11"/>
      <c r="M10" s="57"/>
      <c r="N10" s="57"/>
      <c r="O10" s="58" t="n">
        <f aca="false">H10/$H$25</f>
        <v>0</v>
      </c>
      <c r="P10" s="59" t="n">
        <v>178200</v>
      </c>
      <c r="Q10" s="58"/>
      <c r="R10" s="60" t="n">
        <v>392400</v>
      </c>
      <c r="S10" s="61" t="n">
        <f aca="false">89100+89100</f>
        <v>178200</v>
      </c>
      <c r="T10" s="62" t="n">
        <f aca="false">P10-S10</f>
        <v>0</v>
      </c>
      <c r="Z10" s="63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56" t="n">
        <f aca="false">L32-L30</f>
        <v>1130580</v>
      </c>
      <c r="I11" s="10" t="s">
        <v>18</v>
      </c>
      <c r="J11" s="1" t="n">
        <f aca="false">(E12+E13+E14+E15+E16+E17+E18+E19+E20+E21+E22)/E31</f>
        <v>48270.18125</v>
      </c>
      <c r="K11" s="1" t="n">
        <f aca="false">K30</f>
        <v>33</v>
      </c>
      <c r="L11" s="11" t="n">
        <f aca="false">J11*K11</f>
        <v>1592915.98125</v>
      </c>
      <c r="M11" s="57"/>
      <c r="N11" s="57"/>
      <c r="O11" s="58" t="n">
        <f aca="false">H11/$H$25</f>
        <v>34260</v>
      </c>
      <c r="P11" s="59" t="n">
        <v>164208</v>
      </c>
      <c r="Q11" s="58"/>
      <c r="R11" s="60" t="n">
        <f aca="false">99804+35396</f>
        <v>135200</v>
      </c>
      <c r="S11" s="61" t="n">
        <v>164208</v>
      </c>
      <c r="T11" s="62" t="n">
        <f aca="false">P11-S11</f>
        <v>0</v>
      </c>
      <c r="Z11" s="63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56" t="n">
        <f aca="false">(E12/$E$31)*$K$11</f>
        <v>203361.63375</v>
      </c>
      <c r="I12" s="10"/>
      <c r="L12" s="11"/>
      <c r="M12" s="57"/>
      <c r="N12" s="57"/>
      <c r="O12" s="58" t="n">
        <f aca="false">H12/$H$25</f>
        <v>6162.47375</v>
      </c>
      <c r="P12" s="59" t="n">
        <v>30812</v>
      </c>
      <c r="Q12" s="58"/>
      <c r="R12" s="60" t="n">
        <v>105000</v>
      </c>
      <c r="S12" s="61" t="n">
        <v>35000</v>
      </c>
      <c r="T12" s="62" t="n">
        <f aca="false">P12-S12</f>
        <v>-4188</v>
      </c>
      <c r="U12" s="0" t="s">
        <v>75</v>
      </c>
      <c r="Y12" s="0" t="n">
        <f aca="false">5000+1800+24000+10000+1500+15000</f>
        <v>57300</v>
      </c>
      <c r="Z12" s="63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56" t="n">
        <f aca="false">(E13/$E$31)*$K$11</f>
        <v>181003.57825</v>
      </c>
      <c r="I13" s="19" t="s">
        <v>23</v>
      </c>
      <c r="J13" s="20"/>
      <c r="K13" s="20"/>
      <c r="L13" s="21" t="n">
        <f aca="false">L8+L11</f>
        <v>8376395.98125</v>
      </c>
      <c r="M13" s="57"/>
      <c r="N13" s="1"/>
      <c r="O13" s="58" t="n">
        <f aca="false">H13/$H$25</f>
        <v>5484.95691666667</v>
      </c>
      <c r="P13" s="59" t="n">
        <v>27425</v>
      </c>
      <c r="Q13" s="58"/>
      <c r="R13" s="60" t="n">
        <v>55000</v>
      </c>
      <c r="S13" s="61" t="n">
        <v>35000</v>
      </c>
      <c r="T13" s="62" t="n">
        <f aca="false">P13-S13</f>
        <v>-7575</v>
      </c>
      <c r="U13" s="0" t="s">
        <v>75</v>
      </c>
      <c r="Z13" s="63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Origination'!C14+[2]Fundamentals!C14-C34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56" t="n">
        <f aca="false">(E14/$E$31)*$K$11</f>
        <v>0.0660000000054424</v>
      </c>
      <c r="M14" s="57"/>
      <c r="N14" s="57"/>
      <c r="O14" s="58" t="n">
        <f aca="false">H14/$H$25</f>
        <v>0.00200000000016492</v>
      </c>
      <c r="P14" s="59" t="n">
        <f aca="false">O14*2</f>
        <v>0.00400000000032984</v>
      </c>
      <c r="Q14" s="58"/>
      <c r="R14" s="60" t="n">
        <f aca="false">5000+50000</f>
        <v>55000</v>
      </c>
      <c r="S14" s="61" t="n">
        <v>5000</v>
      </c>
      <c r="T14" s="62" t="n">
        <f aca="false">P14-S14</f>
        <v>-4999.996</v>
      </c>
      <c r="Z14" s="63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56" t="n">
        <f aca="false">(E15/$E$31)*$K$11</f>
        <v>28754.825</v>
      </c>
      <c r="M15" s="57"/>
      <c r="N15" s="57"/>
      <c r="O15" s="58" t="n">
        <f aca="false">H15/$H$25</f>
        <v>871.358333333333</v>
      </c>
      <c r="P15" s="59" t="n">
        <v>4357</v>
      </c>
      <c r="Q15" s="58"/>
      <c r="R15" s="60" t="n">
        <v>90600</v>
      </c>
      <c r="S15" s="61" t="n">
        <v>20000</v>
      </c>
      <c r="T15" s="62" t="n">
        <f aca="false">P15-S15</f>
        <v>-15643</v>
      </c>
      <c r="U15" s="0" t="s">
        <v>75</v>
      </c>
      <c r="Z15" s="63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56" t="n">
        <f aca="false">(E16/$E$31)*$K$11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M16" s="57"/>
      <c r="N16" s="57"/>
      <c r="O16" s="58" t="n">
        <f aca="false">H16/$H$25</f>
        <v>0</v>
      </c>
      <c r="P16" s="59" t="n">
        <f aca="false">O16*2</f>
        <v>0</v>
      </c>
      <c r="Q16" s="58"/>
      <c r="R16" s="60" t="n">
        <v>0</v>
      </c>
      <c r="S16" s="61" t="n">
        <v>0</v>
      </c>
      <c r="T16" s="62" t="n">
        <f aca="false">P16-S16</f>
        <v>0</v>
      </c>
      <c r="Z16" s="63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56" t="n">
        <f aca="false">(E17/$E$31)*$K$11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M17" s="57"/>
      <c r="N17" s="57"/>
      <c r="O17" s="58" t="n">
        <f aca="false">H17/$H$25</f>
        <v>49.1666666666667</v>
      </c>
      <c r="P17" s="59" t="n">
        <v>246</v>
      </c>
      <c r="Q17" s="58"/>
      <c r="R17" s="60" t="n">
        <v>0</v>
      </c>
      <c r="S17" s="61" t="n">
        <v>246</v>
      </c>
      <c r="T17" s="62" t="n">
        <f aca="false">P17-S17</f>
        <v>0</v>
      </c>
      <c r="Z17" s="63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56" t="n">
        <f aca="false">(E18/$E$31)*$K$11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M18" s="57"/>
      <c r="N18" s="57"/>
      <c r="O18" s="58" t="n">
        <f aca="false">H18/$H$25</f>
        <v>892.957666666667</v>
      </c>
      <c r="P18" s="59" t="n">
        <v>4465</v>
      </c>
      <c r="Q18" s="58"/>
      <c r="R18" s="60" t="n">
        <v>0</v>
      </c>
      <c r="S18" s="59" t="n">
        <v>0</v>
      </c>
      <c r="T18" s="62" t="n">
        <f aca="false">P18-S18</f>
        <v>4465</v>
      </c>
      <c r="U18" s="0" t="s">
        <v>76</v>
      </c>
      <c r="Z18" s="63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56" t="n">
        <f aca="false">(E19/$E$31)*$K$11</f>
        <v>30032.838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M19" s="57"/>
      <c r="N19" s="57"/>
      <c r="O19" s="58" t="n">
        <f aca="false">H19/$H$25</f>
        <v>910.086</v>
      </c>
      <c r="P19" s="59" t="n">
        <v>4550</v>
      </c>
      <c r="Q19" s="58"/>
      <c r="R19" s="60" t="n">
        <f aca="false">820000+1397000</f>
        <v>2217000</v>
      </c>
      <c r="S19" s="59" t="n">
        <v>4550</v>
      </c>
      <c r="T19" s="62" t="n">
        <f aca="false">P19-S19</f>
        <v>0</v>
      </c>
      <c r="U19" s="0" t="s">
        <v>77</v>
      </c>
      <c r="Z19" s="63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56" t="n">
        <f aca="false">(E20/$E$31)*$K$11</f>
        <v>4.4</v>
      </c>
      <c r="I20" s="1" t="s">
        <v>42</v>
      </c>
      <c r="J20" s="1" t="n">
        <v>71500</v>
      </c>
      <c r="K20" s="1" t="n">
        <f aca="false">2+1-1</f>
        <v>2</v>
      </c>
      <c r="L20" s="1" t="n">
        <f aca="false">J20*K20</f>
        <v>143000</v>
      </c>
      <c r="M20" s="57"/>
      <c r="N20" s="57"/>
      <c r="O20" s="58" t="n">
        <f aca="false">H20/$H$25</f>
        <v>0.133333333333333</v>
      </c>
      <c r="P20" s="59" t="n">
        <v>1</v>
      </c>
      <c r="Q20" s="58"/>
      <c r="R20" s="60" t="n">
        <v>0</v>
      </c>
      <c r="S20" s="59" t="n">
        <v>1</v>
      </c>
      <c r="T20" s="62" t="n">
        <f aca="false">P20-S20</f>
        <v>0</v>
      </c>
      <c r="Z20" s="63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56" t="n">
        <f aca="false">(E21/$E$31)*$K$11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M21" s="57"/>
      <c r="N21" s="57"/>
      <c r="O21" s="58" t="n">
        <f aca="false">H21/$H$25</f>
        <v>1131.57425</v>
      </c>
      <c r="P21" s="59" t="n">
        <v>5658</v>
      </c>
      <c r="Q21" s="58"/>
      <c r="R21" s="60" t="n">
        <v>6000</v>
      </c>
      <c r="S21" s="61" t="n">
        <v>6000</v>
      </c>
      <c r="T21" s="62" t="n">
        <f aca="false">P21-S21</f>
        <v>-342</v>
      </c>
      <c r="Z21" s="63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56" t="n">
        <f aca="false">(E22/$E$31)*$K$11+557047+65535+393210+393210+1081327</f>
        <v>3571655.587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M22" s="57"/>
      <c r="N22" s="57"/>
      <c r="O22" s="58" t="n">
        <f aca="false">H22/$H$25</f>
        <v>108231.987484848</v>
      </c>
      <c r="P22" s="59" t="n">
        <v>0</v>
      </c>
      <c r="Q22" s="58"/>
      <c r="R22" s="60" t="n">
        <v>0</v>
      </c>
      <c r="S22" s="61" t="n">
        <v>0</v>
      </c>
      <c r="T22" s="62" t="n">
        <f aca="false">P22-S22</f>
        <v>0</v>
      </c>
      <c r="Z22" s="63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64" t="n">
        <f aca="false">SUM(H8:H22)</f>
        <v>10866724.98125</v>
      </c>
      <c r="I23" s="1" t="s">
        <v>51</v>
      </c>
      <c r="J23" s="1" t="n">
        <v>110000</v>
      </c>
      <c r="K23" s="1" t="n">
        <f aca="false">1+8+11-11</f>
        <v>9</v>
      </c>
      <c r="L23" s="1" t="n">
        <f aca="false">J23*K23</f>
        <v>990000</v>
      </c>
      <c r="M23" s="57"/>
      <c r="N23" s="57"/>
      <c r="O23" s="26" t="n">
        <f aca="false">SUM(O8:O22)</f>
        <v>329294.696401515</v>
      </c>
      <c r="P23" s="65" t="n">
        <f aca="false">SUM(P8:P22)</f>
        <v>1062762.004</v>
      </c>
      <c r="Q23" s="26"/>
      <c r="R23" s="64" t="n">
        <f aca="false">SUM(R8:R22)</f>
        <v>3836464</v>
      </c>
      <c r="S23" s="65" t="n">
        <f aca="false">SUM(S8:S22)</f>
        <v>1091045</v>
      </c>
      <c r="T23" s="26" t="n">
        <f aca="false">SUM(T8:T22)</f>
        <v>-28282.996</v>
      </c>
      <c r="Z23" s="63"/>
    </row>
    <row r="24" customFormat="false" ht="13.5" hidden="false" customHeight="false" outlineLevel="0" collapsed="false">
      <c r="H24" s="66"/>
      <c r="I24" s="1" t="s">
        <v>52</v>
      </c>
      <c r="J24" s="1" t="n">
        <v>143000</v>
      </c>
      <c r="K24" s="1" t="n">
        <f aca="false">1+11+14-14</f>
        <v>12</v>
      </c>
      <c r="L24" s="1" t="n">
        <f aca="false">J24*K24</f>
        <v>1716000</v>
      </c>
      <c r="M24" s="57"/>
      <c r="N24" s="57"/>
      <c r="O24" s="58"/>
      <c r="P24" s="67"/>
      <c r="Q24" s="58"/>
      <c r="R24" s="68"/>
      <c r="S24" s="69"/>
      <c r="T24" s="36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70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M25" s="57"/>
      <c r="N25" s="57"/>
      <c r="O25" s="58"/>
      <c r="P25" s="59" t="n">
        <v>3</v>
      </c>
      <c r="Q25" s="58"/>
      <c r="R25" s="71" t="n">
        <v>6</v>
      </c>
      <c r="S25" s="72" t="n">
        <v>3</v>
      </c>
      <c r="T25" s="36"/>
    </row>
    <row r="26" customFormat="false" ht="12.75" hidden="false" customHeight="false" outlineLevel="0" collapsed="false">
      <c r="C26" s="16"/>
      <c r="E26" s="16"/>
      <c r="H26" s="56"/>
      <c r="I26" s="1" t="s">
        <v>55</v>
      </c>
      <c r="J26" s="1" t="n">
        <v>198000</v>
      </c>
      <c r="K26" s="1" t="n">
        <f aca="false">8+6-6</f>
        <v>8</v>
      </c>
      <c r="L26" s="1" t="n">
        <f aca="false">J26*K26</f>
        <v>1584000</v>
      </c>
      <c r="M26" s="57"/>
      <c r="N26" s="57"/>
      <c r="O26" s="58"/>
      <c r="P26" s="73"/>
      <c r="Q26" s="58"/>
      <c r="R26" s="74"/>
      <c r="S26" s="75"/>
      <c r="T26" s="3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6" t="n">
        <f aca="false">+K21+K22</f>
        <v>0</v>
      </c>
      <c r="I27" s="77" t="s">
        <v>57</v>
      </c>
      <c r="J27" s="77" t="n">
        <v>220000</v>
      </c>
      <c r="K27" s="77" t="n">
        <f aca="false">1+1-1</f>
        <v>1</v>
      </c>
      <c r="L27" s="77" t="n">
        <f aca="false">J27*K27</f>
        <v>220000</v>
      </c>
      <c r="M27" s="78"/>
      <c r="N27" s="78"/>
      <c r="O27" s="79"/>
      <c r="P27" s="80" t="n">
        <v>2</v>
      </c>
      <c r="Q27" s="58"/>
      <c r="R27" s="74" t="n">
        <v>3</v>
      </c>
      <c r="S27" s="75" t="n">
        <v>2</v>
      </c>
      <c r="T27" s="36"/>
    </row>
    <row r="28" customFormat="false" ht="12.75" hidden="false" customHeight="false" outlineLevel="0" collapsed="false">
      <c r="B28" s="25"/>
      <c r="C28" s="16"/>
      <c r="E28" s="16"/>
      <c r="H28" s="56"/>
      <c r="M28" s="57"/>
      <c r="N28" s="57"/>
      <c r="O28" s="58"/>
      <c r="P28" s="59"/>
      <c r="Q28" s="58"/>
      <c r="R28" s="74"/>
      <c r="S28" s="75"/>
      <c r="T28" s="36"/>
    </row>
    <row r="29" customFormat="false" ht="12.75" hidden="false" customHeight="false" outlineLevel="0" collapsed="false">
      <c r="B29" s="25" t="s">
        <v>78</v>
      </c>
      <c r="C29" s="16"/>
      <c r="E29" s="16"/>
      <c r="H29" s="76"/>
      <c r="I29" s="77"/>
      <c r="J29" s="77"/>
      <c r="K29" s="77"/>
      <c r="L29" s="77"/>
      <c r="M29" s="78"/>
      <c r="N29" s="78"/>
      <c r="O29" s="79"/>
      <c r="P29" s="80"/>
      <c r="Q29" s="58"/>
      <c r="R29" s="74" t="n">
        <v>1</v>
      </c>
      <c r="S29" s="75"/>
      <c r="T29" s="36"/>
    </row>
    <row r="30" customFormat="false" ht="12.75" hidden="false" customHeight="false" outlineLevel="0" collapsed="false">
      <c r="H30" s="66"/>
      <c r="K30" s="1" t="n">
        <f aca="false">SUM(K16:K27)</f>
        <v>33</v>
      </c>
      <c r="L30" s="1" t="n">
        <f aca="false">SUM(L16:L27)*1.2</f>
        <v>5652900</v>
      </c>
      <c r="M30" s="57"/>
      <c r="N30" s="57"/>
      <c r="O30" s="58"/>
      <c r="P30" s="81"/>
      <c r="Q30" s="58"/>
      <c r="R30" s="74"/>
      <c r="S30" s="75"/>
      <c r="T30" s="36"/>
    </row>
    <row r="31" customFormat="false" ht="13.5" hidden="false" customHeight="false" outlineLevel="0" collapsed="false">
      <c r="B31" s="25" t="s">
        <v>58</v>
      </c>
      <c r="C31" s="16"/>
      <c r="E31" s="29" t="n">
        <f aca="false">SUM(E25:E27)</f>
        <v>160</v>
      </c>
      <c r="G31" s="1"/>
      <c r="H31" s="82" t="n">
        <f aca="false">SUM(H25:H27)</f>
        <v>33</v>
      </c>
      <c r="I31" s="20"/>
      <c r="J31" s="20"/>
      <c r="K31" s="20"/>
      <c r="L31" s="83" t="n">
        <v>0.2</v>
      </c>
      <c r="M31" s="84"/>
      <c r="N31" s="84"/>
      <c r="O31" s="85"/>
      <c r="P31" s="69" t="n">
        <v>5</v>
      </c>
      <c r="Q31" s="58"/>
      <c r="R31" s="86" t="n">
        <v>10</v>
      </c>
      <c r="S31" s="87" t="n">
        <v>5</v>
      </c>
      <c r="T31" s="36"/>
    </row>
    <row r="32" customFormat="false" ht="12.75" hidden="true" customHeight="false" outlineLevel="0" collapsed="false">
      <c r="L32" s="1" t="n">
        <f aca="false">L30*1.2</f>
        <v>6783480</v>
      </c>
      <c r="O32" s="36"/>
      <c r="P32" s="88"/>
      <c r="Q32" s="88"/>
      <c r="R32" s="88"/>
      <c r="S32" s="88"/>
      <c r="T32" s="36"/>
    </row>
    <row r="33" customFormat="false" ht="12.75" hidden="true" customHeight="false" outlineLevel="0" collapsed="false">
      <c r="H33" s="31" t="s">
        <v>59</v>
      </c>
      <c r="L33" s="0"/>
      <c r="O33" s="36"/>
      <c r="P33" s="88"/>
      <c r="Q33" s="88"/>
      <c r="R33" s="88"/>
      <c r="S33" s="88"/>
      <c r="T33" s="36"/>
    </row>
    <row r="34" customFormat="false" ht="12.75" hidden="true" customHeight="false" outlineLevel="0" collapsed="false">
      <c r="B34" s="15" t="s">
        <v>25</v>
      </c>
      <c r="C34" s="16" t="n">
        <v>254512</v>
      </c>
      <c r="L34" s="0"/>
      <c r="O34" s="36"/>
      <c r="P34" s="88"/>
      <c r="Q34" s="88"/>
      <c r="R34" s="88"/>
      <c r="S34" s="88"/>
      <c r="T34" s="36"/>
    </row>
    <row r="35" customFormat="false" ht="12.75" hidden="true" customHeight="false" outlineLevel="0" collapsed="false">
      <c r="H35" s="32" t="s">
        <v>60</v>
      </c>
      <c r="I35" s="33" t="s">
        <v>61</v>
      </c>
      <c r="J35" s="33" t="s">
        <v>62</v>
      </c>
      <c r="K35" s="33" t="s">
        <v>3</v>
      </c>
      <c r="L35" s="33" t="s">
        <v>63</v>
      </c>
      <c r="O35" s="36"/>
      <c r="P35" s="88"/>
      <c r="Q35" s="88"/>
      <c r="R35" s="88"/>
      <c r="S35" s="88"/>
      <c r="T35" s="36"/>
    </row>
    <row r="36" customFormat="false" ht="12.75" hidden="true" customHeight="false" outlineLevel="0" collapsed="false">
      <c r="H36" s="34" t="n">
        <f aca="false">SUM(E12:E22)</f>
        <v>7723229</v>
      </c>
      <c r="I36" s="33" t="n">
        <f aca="false">+E31</f>
        <v>160</v>
      </c>
      <c r="J36" s="33" t="n">
        <f aca="false">+H36/I36</f>
        <v>48270.18125</v>
      </c>
      <c r="K36" s="33" t="n">
        <f aca="false">+K11</f>
        <v>33</v>
      </c>
      <c r="L36" s="33" t="n">
        <f aca="false">+J36*K36</f>
        <v>1592915.98125</v>
      </c>
      <c r="O36" s="36"/>
      <c r="P36" s="88"/>
      <c r="Q36" s="88"/>
      <c r="R36" s="88"/>
      <c r="S36" s="88"/>
      <c r="T36" s="36"/>
    </row>
    <row r="37" customFormat="false" ht="12.75" hidden="true" customHeight="false" outlineLevel="0" collapsed="false">
      <c r="O37" s="36"/>
      <c r="P37" s="88"/>
      <c r="Q37" s="88"/>
      <c r="R37" s="88"/>
      <c r="S37" s="88"/>
      <c r="T37" s="36"/>
    </row>
    <row r="38" customFormat="false" ht="12.75" hidden="true" customHeight="false" outlineLevel="0" collapsed="false">
      <c r="O38" s="36"/>
      <c r="P38" s="88"/>
      <c r="Q38" s="88"/>
      <c r="R38" s="88"/>
      <c r="S38" s="88"/>
      <c r="T38" s="36"/>
    </row>
    <row r="39" customFormat="false" ht="12.75" hidden="true" customHeight="false" outlineLevel="0" collapsed="false">
      <c r="O39" s="36"/>
      <c r="P39" s="88"/>
      <c r="Q39" s="88"/>
      <c r="R39" s="88"/>
      <c r="S39" s="88"/>
      <c r="T39" s="36"/>
    </row>
    <row r="40" customFormat="false" ht="12.75" hidden="true" customHeight="false" outlineLevel="0" collapsed="false">
      <c r="O40" s="36"/>
      <c r="P40" s="88"/>
      <c r="Q40" s="88"/>
      <c r="R40" s="88"/>
      <c r="S40" s="88"/>
      <c r="T40" s="36"/>
    </row>
    <row r="41" customFormat="false" ht="12.75" hidden="false" customHeight="false" outlineLevel="0" collapsed="false">
      <c r="O41" s="36"/>
      <c r="P41" s="88"/>
      <c r="Q41" s="88"/>
      <c r="R41" s="88"/>
      <c r="S41" s="88"/>
      <c r="T41" s="36"/>
    </row>
    <row r="42" customFormat="false" ht="12.75" hidden="false" customHeight="false" outlineLevel="0" collapsed="false">
      <c r="O42" s="36"/>
      <c r="P42" s="36"/>
      <c r="Q42" s="36"/>
      <c r="R42" s="36"/>
      <c r="S42" s="36"/>
      <c r="T42" s="36"/>
    </row>
    <row r="43" customFormat="false" ht="12.75" hidden="false" customHeight="false" outlineLevel="0" collapsed="false">
      <c r="O43" s="36"/>
      <c r="P43" s="36"/>
      <c r="Q43" s="36"/>
      <c r="R43" s="36"/>
      <c r="S43" s="36"/>
      <c r="T43" s="36"/>
    </row>
    <row r="44" customFormat="false" ht="12.75" hidden="false" customHeight="false" outlineLevel="0" collapsed="false">
      <c r="B44" s="0" t="s">
        <v>55</v>
      </c>
      <c r="O44" s="36"/>
      <c r="P44" s="36"/>
      <c r="Q44" s="36"/>
      <c r="R44" s="36"/>
      <c r="S44" s="36" t="s">
        <v>79</v>
      </c>
      <c r="T44" s="36"/>
    </row>
    <row r="45" customFormat="false" ht="12.75" hidden="false" customHeight="false" outlineLevel="0" collapsed="false">
      <c r="B45" s="0" t="s">
        <v>55</v>
      </c>
      <c r="O45" s="36"/>
      <c r="P45" s="36"/>
      <c r="Q45" s="36"/>
      <c r="R45" s="36"/>
      <c r="S45" s="36" t="s">
        <v>80</v>
      </c>
      <c r="T45" s="36"/>
    </row>
    <row r="46" customFormat="false" ht="12.75" hidden="false" customHeight="false" outlineLevel="0" collapsed="false">
      <c r="B46" s="0" t="s">
        <v>81</v>
      </c>
      <c r="S46" s="0" t="s">
        <v>82</v>
      </c>
      <c r="U46" s="0" t="s">
        <v>83</v>
      </c>
    </row>
    <row r="47" customFormat="false" ht="12.75" hidden="false" customHeight="false" outlineLevel="0" collapsed="false">
      <c r="B47" s="0" t="s">
        <v>84</v>
      </c>
      <c r="S47" s="36" t="s">
        <v>85</v>
      </c>
    </row>
    <row r="48" customFormat="false" ht="12.75" hidden="false" customHeight="false" outlineLevel="0" collapsed="false">
      <c r="B48" s="0" t="s">
        <v>84</v>
      </c>
      <c r="S48" s="36" t="s">
        <v>86</v>
      </c>
      <c r="U48" s="0" t="s">
        <v>87</v>
      </c>
    </row>
    <row r="49" customFormat="false" ht="12.75" hidden="false" customHeight="false" outlineLevel="0" collapsed="false">
      <c r="B49" s="0" t="s">
        <v>33</v>
      </c>
      <c r="S49" s="36" t="s">
        <v>88</v>
      </c>
      <c r="U49" s="0" t="s">
        <v>89</v>
      </c>
    </row>
    <row r="67" customFormat="false" ht="12.75" hidden="false" customHeight="false" outlineLevel="0" collapsed="false">
      <c r="T67" s="0" t="n">
        <v>198000</v>
      </c>
      <c r="U67" s="0" t="s">
        <v>55</v>
      </c>
    </row>
    <row r="68" customFormat="false" ht="12.75" hidden="false" customHeight="false" outlineLevel="0" collapsed="false">
      <c r="T68" s="0" t="n">
        <v>110000</v>
      </c>
      <c r="U68" s="0" t="s">
        <v>81</v>
      </c>
    </row>
    <row r="69" customFormat="false" ht="12.75" hidden="false" customHeight="false" outlineLevel="0" collapsed="false">
      <c r="T69" s="0" t="n">
        <v>89100</v>
      </c>
      <c r="U69" s="0" t="s">
        <v>84</v>
      </c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220138888888889" right="0.170138888888889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5629800</v>
      </c>
      <c r="I8" s="10" t="s">
        <v>13</v>
      </c>
      <c r="J8" s="1" t="n">
        <v>0</v>
      </c>
      <c r="L8" s="11" t="n">
        <f aca="false">L30</f>
        <v>6755760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1125960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33</v>
      </c>
      <c r="L11" s="11" t="n">
        <f aca="false">J11*K11</f>
        <v>1592915.98125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203361.63375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181003.57825</v>
      </c>
      <c r="I13" s="19" t="s">
        <v>23</v>
      </c>
      <c r="J13" s="20"/>
      <c r="K13" s="20"/>
      <c r="L13" s="21" t="n">
        <f aca="false">L8+L11</f>
        <v>8348675.98125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0.0660000000054424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28754.825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30032.838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4.4</v>
      </c>
      <c r="I20" s="1" t="s">
        <v>42</v>
      </c>
      <c r="J20" s="1" t="n">
        <v>71500</v>
      </c>
      <c r="K20" s="1" t="n">
        <v>1</v>
      </c>
      <c r="L20" s="1" t="n">
        <f aca="false">J20*K20</f>
        <v>71500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(E22/$E$29)*$K$11-1081327</f>
        <v>-0.412999999476597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7267348.98125</v>
      </c>
      <c r="I23" s="1" t="s">
        <v>51</v>
      </c>
      <c r="J23" s="1" t="n">
        <v>110000</v>
      </c>
      <c r="K23" s="1" t="n">
        <v>11</v>
      </c>
      <c r="L23" s="1" t="n">
        <f aca="false">J23*K23</f>
        <v>1210000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14</v>
      </c>
      <c r="L24" s="1" t="n">
        <f aca="false">J24*K24</f>
        <v>2002000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6</v>
      </c>
      <c r="L26" s="1" t="n">
        <f aca="false">J26*K26</f>
        <v>1188000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1</v>
      </c>
      <c r="L27" s="1" t="n">
        <f aca="false">J27*K27</f>
        <v>220000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33</v>
      </c>
      <c r="L28" s="1" t="n">
        <f aca="false">SUM(L16:L27)*1.2</f>
        <v>5629800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33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6755760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33</v>
      </c>
      <c r="L34" s="33" t="n">
        <f aca="false">+J34*K34</f>
        <v>1592915.98125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91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179520</v>
      </c>
      <c r="I8" s="10" t="s">
        <v>13</v>
      </c>
      <c r="J8" s="1" t="n">
        <v>0</v>
      </c>
      <c r="L8" s="11" t="n">
        <f aca="false">L30</f>
        <v>1292544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215424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1871786.175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1478576.175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0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1077120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1292544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92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696960</v>
      </c>
      <c r="I8" s="10" t="s">
        <v>13</v>
      </c>
      <c r="J8" s="1" t="n">
        <v>0</v>
      </c>
      <c r="L8" s="11" t="n">
        <f aca="false">L30</f>
        <v>836352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139392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1415594.175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1022384.175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12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696960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836352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2002-01-02T13:16:57Z</dcterms:created>
  <dc:creator>dvandor</dc:creator>
  <dc:description/>
  <dc:language>en-US</dc:language>
  <cp:lastModifiedBy>tmartin</cp:lastModifiedBy>
  <cp:lastPrinted>2002-01-02T18:42:30Z</cp:lastPrinted>
  <dcterms:modified xsi:type="dcterms:W3CDTF">2002-01-04T12:35:53Z</dcterms:modified>
  <cp:revision>0</cp:revision>
  <dc:subject/>
  <dc:title/>
</cp:coreProperties>
</file>