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3)" sheetId="2" state="visible" r:id="rId4"/>
    <sheet name="Sheet1 (2)" sheetId="3" state="visible" r:id="rId5"/>
  </sheets>
  <definedNames>
    <definedName function="false" hidden="false" localSheetId="0" name="_xlnm.Print_Area" vbProcedure="false">Sheet1!$A$24:$AA$56</definedName>
    <definedName function="false" hidden="false" localSheetId="1" name="_xlnm.Print_Area" vbProcedure="false">'Sheet1 (3)'!$A$24:$AA$56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3</xdr:row>
                <xdr:rowOff>6</xdr:rowOff>
              </xdr:from>
              <xdr:to>
                <xdr:col>4</xdr:col>
                <xdr:colOff>111</xdr:colOff>
                <xdr:row>7</xdr:row>
                <xdr:rowOff>12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26</xdr:row>
                <xdr:rowOff>8</xdr:rowOff>
              </xdr:from>
              <xdr:to>
                <xdr:col>4</xdr:col>
                <xdr:colOff>111</xdr:colOff>
                <xdr:row>30</xdr:row>
                <xdr:rowOff>12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lfascett:
Cashflows updated from TAGG on 9/25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6</xdr:rowOff>
              </xdr:from>
              <xdr:to>
                <xdr:col>6</xdr:col>
                <xdr:colOff>16</xdr:colOff>
                <xdr:row>39</xdr:row>
                <xdr:rowOff>12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85</xdr:colOff>
                <xdr:row>26</xdr:row>
                <xdr:rowOff>6</xdr:rowOff>
              </xdr:from>
              <xdr:to>
                <xdr:col>17</xdr:col>
                <xdr:colOff>29</xdr:colOff>
                <xdr:row>30</xdr:row>
                <xdr:rowOff>11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Cashflows updated from TAGG on 9/25/01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</xdr:colOff>
                <xdr:row>36</xdr:row>
                <xdr:rowOff>6</xdr:rowOff>
              </xdr:from>
              <xdr:to>
                <xdr:col>18</xdr:col>
                <xdr:colOff>1</xdr:colOff>
                <xdr:row>40</xdr:row>
                <xdr:rowOff>12</xdr:rowOff>
              </xdr:to>
            </anchor>
          </commentPr>
        </mc:Choice>
        <mc:Fallback/>
      </mc:AlternateContent>
    </comment>
    <comment ref="X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70</xdr:colOff>
                <xdr:row>26</xdr:row>
                <xdr:rowOff>6</xdr:rowOff>
              </xdr:from>
              <xdr:to>
                <xdr:col>24</xdr:col>
                <xdr:colOff>24</xdr:colOff>
                <xdr:row>30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3</xdr:row>
                <xdr:rowOff>6</xdr:rowOff>
              </xdr:from>
              <xdr:to>
                <xdr:col>4</xdr:col>
                <xdr:colOff>111</xdr:colOff>
                <xdr:row>7</xdr:row>
                <xdr:rowOff>12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26</xdr:row>
                <xdr:rowOff>8</xdr:rowOff>
              </xdr:from>
              <xdr:to>
                <xdr:col>4</xdr:col>
                <xdr:colOff>111</xdr:colOff>
                <xdr:row>30</xdr:row>
                <xdr:rowOff>12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lfascett:
Cashflows updated from TAGG on 9/25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6</xdr:rowOff>
              </xdr:from>
              <xdr:to>
                <xdr:col>6</xdr:col>
                <xdr:colOff>16</xdr:colOff>
                <xdr:row>39</xdr:row>
                <xdr:rowOff>12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85</xdr:colOff>
                <xdr:row>26</xdr:row>
                <xdr:rowOff>6</xdr:rowOff>
              </xdr:from>
              <xdr:to>
                <xdr:col>17</xdr:col>
                <xdr:colOff>34</xdr:colOff>
                <xdr:row>30</xdr:row>
                <xdr:rowOff>11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Cashflows updated from TAGG on 9/25/01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</xdr:colOff>
                <xdr:row>36</xdr:row>
                <xdr:rowOff>6</xdr:rowOff>
              </xdr:from>
              <xdr:to>
                <xdr:col>18</xdr:col>
                <xdr:colOff>6</xdr:colOff>
                <xdr:row>40</xdr:row>
                <xdr:rowOff>12</xdr:rowOff>
              </xdr:to>
            </anchor>
          </commentPr>
        </mc:Choice>
        <mc:Fallback/>
      </mc:AlternateContent>
    </comment>
    <comment ref="X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75</xdr:colOff>
                <xdr:row>26</xdr:row>
                <xdr:rowOff>6</xdr:rowOff>
              </xdr:from>
              <xdr:to>
                <xdr:col>24</xdr:col>
                <xdr:colOff>30</xdr:colOff>
                <xdr:row>30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<sst xmlns="http://schemas.openxmlformats.org/spreadsheetml/2006/main" count="213" uniqueCount="55">
  <si>
    <t xml:space="preserve">Per Troy's Calculation:</t>
  </si>
  <si>
    <t xml:space="preserve">Corporate Rate for Capital</t>
  </si>
  <si>
    <t xml:space="preserve">Operational Plan</t>
  </si>
  <si>
    <t xml:space="preserve">Volume</t>
  </si>
  <si>
    <t xml:space="preserve">Monthly </t>
  </si>
  <si>
    <t xml:space="preserve">Cummulative</t>
  </si>
  <si>
    <t xml:space="preserve">Physical</t>
  </si>
  <si>
    <t xml:space="preserve">Financial </t>
  </si>
  <si>
    <t xml:space="preserve">Prime</t>
  </si>
  <si>
    <t xml:space="preserve">Carrying </t>
  </si>
  <si>
    <t xml:space="preserve">Corp</t>
  </si>
  <si>
    <t xml:space="preserve">Month</t>
  </si>
  <si>
    <t xml:space="preserve">Liquidations</t>
  </si>
  <si>
    <t xml:space="preserve">WACOG</t>
  </si>
  <si>
    <t xml:space="preserve">Rate</t>
  </si>
  <si>
    <t xml:space="preserve">Cost</t>
  </si>
  <si>
    <t xml:space="preserve">P/L</t>
  </si>
  <si>
    <t xml:space="preserve">fuel</t>
  </si>
  <si>
    <t xml:space="preserve">totals</t>
  </si>
  <si>
    <t xml:space="preserve">Cashflows</t>
  </si>
  <si>
    <t xml:space="preserve">NSS 2 - Year 2</t>
  </si>
  <si>
    <t xml:space="preserve">NSS 1 - Year 3</t>
  </si>
  <si>
    <t xml:space="preserve">NSS Combined Cashflows</t>
  </si>
  <si>
    <t xml:space="preserve">Net </t>
  </si>
  <si>
    <t xml:space="preserve">Value</t>
  </si>
  <si>
    <t xml:space="preserve">Monthly Cashflow</t>
  </si>
  <si>
    <t xml:space="preserve">s/b</t>
  </si>
  <si>
    <t xml:space="preserve">differ</t>
  </si>
  <si>
    <t xml:space="preserve">NSS2 Volumes</t>
  </si>
  <si>
    <t xml:space="preserve">Phillip</t>
  </si>
  <si>
    <t xml:space="preserve">(Index + Mid)</t>
  </si>
  <si>
    <t xml:space="preserve">Tagg Liquidations</t>
  </si>
  <si>
    <t xml:space="preserve">Buy Volume</t>
  </si>
  <si>
    <t xml:space="preserve">Buy Dollars</t>
  </si>
  <si>
    <t xml:space="preserve">Buy Average Price</t>
  </si>
  <si>
    <t xml:space="preserve">Sale Volume</t>
  </si>
  <si>
    <t xml:space="preserve">Sale Dollars</t>
  </si>
  <si>
    <t xml:space="preserve">Sale Average Price</t>
  </si>
  <si>
    <t xml:space="preserve">Net Position</t>
  </si>
  <si>
    <t xml:space="preserve">Net Price</t>
  </si>
  <si>
    <t xml:space="preserve">Financial</t>
  </si>
  <si>
    <t xml:space="preserve">total liquidations</t>
  </si>
  <si>
    <t xml:space="preserve">volume</t>
  </si>
  <si>
    <t xml:space="preserve">total $</t>
  </si>
  <si>
    <t xml:space="preserve">0301</t>
  </si>
  <si>
    <t xml:space="preserve">0401</t>
  </si>
  <si>
    <t xml:space="preserve">0501</t>
  </si>
  <si>
    <t xml:space="preserve">0601</t>
  </si>
  <si>
    <t xml:space="preserve">0701</t>
  </si>
  <si>
    <t xml:space="preserve">0801</t>
  </si>
  <si>
    <t xml:space="preserve">0901</t>
  </si>
  <si>
    <t xml:space="preserve">Total</t>
  </si>
  <si>
    <t xml:space="preserve">Phyliss</t>
  </si>
  <si>
    <t xml:space="preserve">(Unify - Contract Price)</t>
  </si>
  <si>
    <t xml:space="preserve">Difference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</si>
</sst>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\$#,##0_);[RED]&quot;($&quot;#,##0\)"/>
    <numFmt numFmtId="167" formatCode="[$-409]mmm\-yy"/>
    <numFmt numFmtId="168" formatCode="_(\$* #,##0.00_);_(\$* \(#,##0.00\);_(\$* \-??_);_(@_)"/>
    <numFmt numFmtId="169" formatCode="\$#,##0.000_);[RED]&quot;($&quot;#,##0.000\)"/>
    <numFmt numFmtId="170" formatCode="0%"/>
    <numFmt numFmtId="171" formatCode="0.00%"/>
    <numFmt numFmtId="172" formatCode="[$-409]#,##0_);\(#,##0\)"/>
    <numFmt numFmtId="173" formatCode="\$#,##0.00_);[RED]&quot;($&quot;#,##0.00\)"/>
    <numFmt numFmtId="174" formatCode="_(* #,##0.00_);_(* \(#,##0.00\);_(* \-??_);_(@_)"/>
    <numFmt numFmtId="175" formatCode="_(* #,##0_);_(* \(#,##0\);_(* \-??_);_(@_)"/>
    <numFmt numFmtId="176" formatCode="_(\$* #,##0_);_(\$* \(#,##0\);_(\$* \-??_);_(@_)"/>
    <numFmt numFmtId="177" formatCode="_(\$* #,##0.0000_);_(\$* \(#,##0.00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SS Value Summary 3-30-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28"/>
    <col collapsed="false" customWidth="true" hidden="false" outlineLevel="0" max="3" min="3" style="0" width="13.56"/>
    <col collapsed="false" customWidth="true" hidden="false" outlineLevel="0" max="4" min="4" style="0" width="14.14"/>
    <col collapsed="false" customWidth="true" hidden="false" outlineLevel="0" max="5" min="5" style="0" width="18.14"/>
    <col collapsed="false" customWidth="true" hidden="false" outlineLevel="0" max="6" min="6" style="1" width="18.14"/>
    <col collapsed="false" customWidth="true" hidden="false" outlineLevel="0" max="7" min="7" style="0" width="6.99"/>
    <col collapsed="false" customWidth="true" hidden="false" outlineLevel="0" max="8" min="8" style="0" width="11.99"/>
    <col collapsed="false" customWidth="true" hidden="false" outlineLevel="0" max="9" min="9" style="0" width="32.7"/>
    <col collapsed="false" customWidth="true" hidden="false" outlineLevel="0" max="10" min="10" style="0" width="11.99"/>
    <col collapsed="false" customWidth="true" hidden="false" outlineLevel="0" max="11" min="11" style="0" width="11.85"/>
    <col collapsed="false" customWidth="true" hidden="false" outlineLevel="0" max="12" min="12" style="0" width="8.41"/>
    <col collapsed="false" customWidth="true" hidden="false" outlineLevel="0" max="13" min="13" style="0" width="16.84"/>
    <col collapsed="false" customWidth="true" hidden="false" outlineLevel="0" max="14" min="14" style="0" width="11.28"/>
    <col collapsed="false" customWidth="true" hidden="false" outlineLevel="0" max="15" min="15" style="0" width="13.56"/>
    <col collapsed="false" customWidth="true" hidden="false" outlineLevel="0" max="16" min="16" style="0" width="12.42"/>
    <col collapsed="false" customWidth="true" hidden="false" outlineLevel="0" max="17" min="17" style="0" width="13.14"/>
    <col collapsed="false" customWidth="true" hidden="false" outlineLevel="0" max="18" min="18" style="0" width="18.14"/>
    <col collapsed="false" customWidth="true" hidden="false" outlineLevel="0" max="19" min="19" style="0" width="13.99"/>
    <col collapsed="false" customWidth="true" hidden="false" outlineLevel="0" max="22" min="22" style="0" width="11.28"/>
    <col collapsed="false" customWidth="true" hidden="false" outlineLevel="0" max="23" min="23" style="0" width="13.56"/>
    <col collapsed="false" customWidth="true" hidden="false" outlineLevel="0" max="24" min="24" style="0" width="12.42"/>
    <col collapsed="false" customWidth="true" hidden="false" outlineLevel="0" max="25" min="25" style="0" width="13.14"/>
    <col collapsed="false" customWidth="true" hidden="false" outlineLevel="0" max="26" min="26" style="0" width="18.14"/>
    <col collapsed="false" customWidth="true" hidden="false" outlineLevel="0" max="27" min="27" style="0" width="9.99"/>
  </cols>
  <sheetData>
    <row r="1" customFormat="false" ht="13.5" hidden="false" customHeight="false" outlineLevel="0" collapsed="false">
      <c r="A1" s="2"/>
      <c r="B1" s="2"/>
      <c r="C1" s="2"/>
      <c r="D1" s="3"/>
      <c r="E1" s="3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2.75" hidden="false" customHeight="false" outlineLevel="0" collapsed="false">
      <c r="A2" s="4" t="s">
        <v>0</v>
      </c>
      <c r="B2" s="5"/>
      <c r="C2" s="5"/>
      <c r="D2" s="6"/>
      <c r="E2" s="6"/>
      <c r="F2" s="7"/>
      <c r="G2" s="7"/>
      <c r="H2" s="8"/>
      <c r="I2" s="9" t="s">
        <v>1</v>
      </c>
      <c r="J2" s="8"/>
      <c r="K2" s="10"/>
      <c r="L2" s="3"/>
      <c r="M2" s="2" t="s">
        <v>2</v>
      </c>
      <c r="N2" s="3"/>
      <c r="O2" s="3"/>
      <c r="P2" s="3"/>
      <c r="Q2" s="3"/>
      <c r="R2" s="3"/>
      <c r="S2" s="3"/>
    </row>
    <row r="3" customFormat="false" ht="12.75" hidden="false" customHeight="false" outlineLevel="0" collapsed="false">
      <c r="A3" s="11"/>
      <c r="B3" s="12"/>
      <c r="C3" s="12"/>
      <c r="D3" s="13"/>
      <c r="E3" s="13"/>
      <c r="F3" s="12"/>
      <c r="G3" s="12"/>
      <c r="H3" s="14"/>
      <c r="I3" s="12"/>
      <c r="J3" s="14"/>
      <c r="K3" s="15"/>
      <c r="L3" s="3"/>
      <c r="M3" s="2" t="s">
        <v>3</v>
      </c>
      <c r="N3" s="3"/>
      <c r="O3" s="3"/>
      <c r="P3" s="3"/>
      <c r="Q3" s="3"/>
      <c r="R3" s="3"/>
      <c r="S3" s="3"/>
    </row>
    <row r="4" customFormat="false" ht="12.75" hidden="false" customHeight="false" outlineLevel="0" collapsed="false">
      <c r="A4" s="11"/>
      <c r="B4" s="12" t="s">
        <v>4</v>
      </c>
      <c r="C4" s="12" t="s">
        <v>5</v>
      </c>
      <c r="D4" s="13" t="s">
        <v>6</v>
      </c>
      <c r="E4" s="13" t="s">
        <v>7</v>
      </c>
      <c r="F4" s="12"/>
      <c r="G4" s="12" t="s">
        <v>8</v>
      </c>
      <c r="H4" s="16" t="s">
        <v>9</v>
      </c>
      <c r="I4" s="12" t="s">
        <v>10</v>
      </c>
      <c r="J4" s="16" t="s">
        <v>9</v>
      </c>
      <c r="K4" s="17"/>
      <c r="L4" s="3"/>
      <c r="M4" s="2"/>
      <c r="N4" s="3"/>
      <c r="O4" s="3"/>
      <c r="P4" s="3"/>
      <c r="Q4" s="3"/>
      <c r="R4" s="3"/>
      <c r="S4" s="3"/>
    </row>
    <row r="5" customFormat="false" ht="12.75" hidden="false" customHeight="false" outlineLevel="0" collapsed="false">
      <c r="A5" s="18" t="s">
        <v>11</v>
      </c>
      <c r="B5" s="19" t="s">
        <v>3</v>
      </c>
      <c r="C5" s="19" t="s">
        <v>3</v>
      </c>
      <c r="D5" s="20" t="s">
        <v>12</v>
      </c>
      <c r="E5" s="20" t="s">
        <v>12</v>
      </c>
      <c r="F5" s="19" t="s">
        <v>13</v>
      </c>
      <c r="G5" s="19" t="s">
        <v>14</v>
      </c>
      <c r="H5" s="21" t="s">
        <v>15</v>
      </c>
      <c r="I5" s="19" t="s">
        <v>14</v>
      </c>
      <c r="J5" s="21" t="s">
        <v>15</v>
      </c>
      <c r="K5" s="22" t="s">
        <v>16</v>
      </c>
      <c r="L5" s="3"/>
      <c r="M5" s="23"/>
      <c r="N5" s="3"/>
      <c r="O5" s="3"/>
      <c r="P5" s="3"/>
      <c r="Q5" s="3"/>
      <c r="R5" s="3"/>
      <c r="S5" s="3"/>
    </row>
    <row r="6" customFormat="false" ht="12.75" hidden="false" customHeight="false" outlineLevel="0" collapsed="false">
      <c r="A6" s="11"/>
      <c r="B6" s="12"/>
      <c r="C6" s="12"/>
      <c r="D6" s="13"/>
      <c r="E6" s="13"/>
      <c r="F6" s="12"/>
      <c r="G6" s="12"/>
      <c r="H6" s="14"/>
      <c r="I6" s="12"/>
      <c r="J6" s="24"/>
      <c r="K6" s="15"/>
      <c r="L6" s="3"/>
      <c r="M6" s="23"/>
      <c r="N6" s="3"/>
      <c r="O6" s="3" t="s">
        <v>17</v>
      </c>
      <c r="P6" s="3"/>
      <c r="Q6" s="3"/>
      <c r="R6" s="3"/>
      <c r="S6" s="3"/>
    </row>
    <row r="7" customFormat="false" ht="12.75" hidden="false" customHeight="false" outlineLevel="0" collapsed="false">
      <c r="A7" s="25" t="n">
        <v>36951</v>
      </c>
      <c r="B7" s="23" t="n">
        <f aca="false">2391039-229584</f>
        <v>2161455</v>
      </c>
      <c r="C7" s="23" t="n">
        <v>2161455</v>
      </c>
      <c r="D7" s="26" t="n">
        <v>11019220.6923915</v>
      </c>
      <c r="E7" s="26" t="n">
        <v>0</v>
      </c>
      <c r="F7" s="27" t="n">
        <f aca="false">+(D7-E7)/C7</f>
        <v>5.0980569534834</v>
      </c>
      <c r="G7" s="28" t="n">
        <v>0.085</v>
      </c>
      <c r="H7" s="29" t="n">
        <f aca="false">+D7*(G7/12)</f>
        <v>78052.8132377729</v>
      </c>
      <c r="I7" s="28" t="n">
        <v>0.09</v>
      </c>
      <c r="J7" s="29" t="n">
        <f aca="false">+D7*(I7/12)</f>
        <v>82644.155192936</v>
      </c>
      <c r="K7" s="30" t="n">
        <f aca="false">+H7-J7</f>
        <v>-4591.34195516311</v>
      </c>
      <c r="L7" s="3"/>
      <c r="M7" s="31" t="n">
        <v>2161323</v>
      </c>
      <c r="N7" s="23" t="n">
        <f aca="false">+B7-M7</f>
        <v>132</v>
      </c>
      <c r="O7" s="23" t="n">
        <v>0</v>
      </c>
      <c r="P7" s="31" t="n">
        <v>2073170</v>
      </c>
      <c r="Q7" s="32" t="n">
        <f aca="false">+M7-P7</f>
        <v>88153</v>
      </c>
      <c r="R7" s="3"/>
      <c r="S7" s="3"/>
    </row>
    <row r="8" customFormat="false" ht="12.75" hidden="false" customHeight="false" outlineLevel="0" collapsed="false">
      <c r="A8" s="25" t="n">
        <v>36982</v>
      </c>
      <c r="B8" s="23" t="n">
        <f aca="false">+C8-C7</f>
        <v>1266261</v>
      </c>
      <c r="C8" s="23" t="n">
        <v>3427716</v>
      </c>
      <c r="D8" s="26" t="n">
        <v>17663258.2198598</v>
      </c>
      <c r="E8" s="26" t="n">
        <v>280165</v>
      </c>
      <c r="F8" s="27" t="n">
        <f aca="false">+(D8-E8)/C8</f>
        <v>5.07133415366377</v>
      </c>
      <c r="G8" s="28" t="n">
        <v>0.08</v>
      </c>
      <c r="H8" s="29" t="n">
        <f aca="false">+D8*(G8/12)</f>
        <v>117755.054799065</v>
      </c>
      <c r="I8" s="28" t="n">
        <v>0.09</v>
      </c>
      <c r="J8" s="29" t="n">
        <f aca="false">+D8*(I8/12)</f>
        <v>132474.436648948</v>
      </c>
      <c r="K8" s="30" t="n">
        <f aca="false">+H8-J8</f>
        <v>-14719.3818498831</v>
      </c>
      <c r="L8" s="3"/>
      <c r="M8" s="23" t="n">
        <v>1288330</v>
      </c>
      <c r="N8" s="23" t="n">
        <f aca="false">+B8-M8</f>
        <v>-22069</v>
      </c>
      <c r="O8" s="23" t="n">
        <v>21984</v>
      </c>
      <c r="P8" s="31" t="n">
        <v>1286773</v>
      </c>
      <c r="Q8" s="32" t="n">
        <f aca="false">+M8-P8</f>
        <v>1557</v>
      </c>
      <c r="R8" s="3"/>
      <c r="S8" s="3"/>
    </row>
    <row r="9" customFormat="false" ht="12.75" hidden="false" customHeight="false" outlineLevel="0" collapsed="false">
      <c r="A9" s="25" t="n">
        <v>37012</v>
      </c>
      <c r="B9" s="23" t="n">
        <f aca="false">+C9-C8</f>
        <v>2031347</v>
      </c>
      <c r="C9" s="23" t="n">
        <v>5459063</v>
      </c>
      <c r="D9" s="26" t="n">
        <v>26970147.464201</v>
      </c>
      <c r="E9" s="26" t="n">
        <v>1161561</v>
      </c>
      <c r="F9" s="27" t="n">
        <f aca="false">+(D9-E9)/C9</f>
        <v>4.72765865940749</v>
      </c>
      <c r="G9" s="28" t="n">
        <v>0.075</v>
      </c>
      <c r="H9" s="29" t="n">
        <f aca="false">+D9*(G9/12)</f>
        <v>168563.421651256</v>
      </c>
      <c r="I9" s="28" t="n">
        <v>0.09</v>
      </c>
      <c r="J9" s="29" t="n">
        <f aca="false">+D9*(I9/12)</f>
        <v>202276.105981508</v>
      </c>
      <c r="K9" s="30" t="n">
        <f aca="false">+H9-J9</f>
        <v>-33712.6843302513</v>
      </c>
      <c r="L9" s="3"/>
      <c r="M9" s="23" t="n">
        <v>2064533</v>
      </c>
      <c r="N9" s="23" t="n">
        <f aca="false">+B9-M9</f>
        <v>-33186</v>
      </c>
      <c r="O9" s="23" t="n">
        <v>35106</v>
      </c>
      <c r="P9" s="31" t="n">
        <v>2067464</v>
      </c>
      <c r="Q9" s="32" t="n">
        <f aca="false">+M9-P9</f>
        <v>-2931</v>
      </c>
      <c r="R9" s="3"/>
      <c r="S9" s="3"/>
    </row>
    <row r="10" customFormat="false" ht="12.75" hidden="false" customHeight="false" outlineLevel="0" collapsed="false">
      <c r="A10" s="25" t="n">
        <v>37043</v>
      </c>
      <c r="B10" s="23" t="n">
        <f aca="false">+C10-C9</f>
        <v>2822006</v>
      </c>
      <c r="C10" s="23" t="n">
        <v>8281069</v>
      </c>
      <c r="D10" s="26" t="n">
        <v>37023259.77</v>
      </c>
      <c r="E10" s="26" t="n">
        <v>-166011</v>
      </c>
      <c r="F10" s="27" t="n">
        <f aca="false">+(D10-E10)/C10</f>
        <v>4.49087802190756</v>
      </c>
      <c r="G10" s="28" t="n">
        <v>0.07</v>
      </c>
      <c r="H10" s="29" t="n">
        <f aca="false">+D10*(G10/12)</f>
        <v>215969.015325</v>
      </c>
      <c r="I10" s="28" t="n">
        <v>0.09</v>
      </c>
      <c r="J10" s="29" t="n">
        <f aca="false">+D10*(I10/12)</f>
        <v>277674.448275</v>
      </c>
      <c r="K10" s="30" t="n">
        <f aca="false">+H10-J10</f>
        <v>-61705.43295</v>
      </c>
      <c r="L10" s="3"/>
      <c r="M10" s="23" t="n">
        <v>2857103</v>
      </c>
      <c r="N10" s="23" t="n">
        <f aca="false">+B10-M10</f>
        <v>-35097</v>
      </c>
      <c r="O10" s="23" t="n">
        <v>43218</v>
      </c>
      <c r="P10" s="31" t="n">
        <v>2867180</v>
      </c>
      <c r="Q10" s="32" t="n">
        <f aca="false">+M10-P10</f>
        <v>-10077</v>
      </c>
      <c r="R10" s="3"/>
      <c r="S10" s="3"/>
    </row>
    <row r="11" customFormat="false" ht="12.75" hidden="false" customHeight="false" outlineLevel="0" collapsed="false">
      <c r="A11" s="33" t="n">
        <v>37073</v>
      </c>
      <c r="B11" s="31" t="n">
        <f aca="false">+C11-C10</f>
        <v>2179520</v>
      </c>
      <c r="C11" s="31" t="n">
        <v>10460589</v>
      </c>
      <c r="D11" s="26" t="n">
        <v>42719858.84</v>
      </c>
      <c r="E11" s="26" t="n">
        <v>-1625468</v>
      </c>
      <c r="F11" s="27" t="n">
        <f aca="false">+(D11-E11)/C11</f>
        <v>4.23927628167018</v>
      </c>
      <c r="G11" s="28" t="n">
        <f aca="false">4%+0.02</f>
        <v>0.06</v>
      </c>
      <c r="H11" s="29" t="n">
        <f aca="false">+D11*(G11/12)</f>
        <v>213599.2942</v>
      </c>
      <c r="I11" s="28" t="n">
        <v>0.09</v>
      </c>
      <c r="J11" s="29" t="n">
        <f aca="false">+D11*(I11/12)</f>
        <v>320398.9413</v>
      </c>
      <c r="K11" s="30" t="n">
        <f aca="false">+H11-J11</f>
        <v>-106799.6471</v>
      </c>
      <c r="L11" s="34"/>
      <c r="M11" s="23" t="n">
        <v>2222676</v>
      </c>
      <c r="N11" s="23" t="n">
        <f aca="false">+B11-M11</f>
        <v>-43156</v>
      </c>
      <c r="O11" s="23" t="n">
        <v>33144</v>
      </c>
      <c r="P11" s="31" t="n">
        <v>2222664</v>
      </c>
      <c r="Q11" s="32" t="n">
        <f aca="false">+M11-P11</f>
        <v>12</v>
      </c>
      <c r="R11" s="3"/>
      <c r="S11" s="3"/>
    </row>
    <row r="12" customFormat="false" ht="12.75" hidden="false" customHeight="false" outlineLevel="0" collapsed="false">
      <c r="A12" s="33" t="n">
        <v>37104</v>
      </c>
      <c r="B12" s="35" t="n">
        <f aca="false">+C12-C11</f>
        <v>976685</v>
      </c>
      <c r="C12" s="31" t="n">
        <v>11437274</v>
      </c>
      <c r="D12" s="26" t="n">
        <v>45022210.23</v>
      </c>
      <c r="E12" s="36"/>
      <c r="F12" s="27" t="n">
        <f aca="false">+(D12-E12)/C12</f>
        <v>3.93644588999092</v>
      </c>
      <c r="G12" s="28" t="n">
        <v>0.06</v>
      </c>
      <c r="H12" s="29" t="n">
        <f aca="false">+D12*(G12/12)</f>
        <v>225111.05115</v>
      </c>
      <c r="I12" s="28" t="n">
        <v>0.09</v>
      </c>
      <c r="J12" s="29" t="n">
        <f aca="false">+D12*(I12/12)</f>
        <v>337666.576725</v>
      </c>
      <c r="K12" s="30" t="n">
        <f aca="false">+H12-J12</f>
        <v>-112555.525575</v>
      </c>
      <c r="L12" s="3"/>
      <c r="M12" s="35" t="n">
        <v>1085315</v>
      </c>
      <c r="N12" s="23" t="n">
        <f aca="false">+B12-M12</f>
        <v>-108630</v>
      </c>
      <c r="O12" s="23" t="n">
        <v>12276</v>
      </c>
      <c r="P12" s="31" t="n">
        <v>1072780</v>
      </c>
      <c r="Q12" s="32" t="n">
        <f aca="false">+M12-P12</f>
        <v>12535</v>
      </c>
      <c r="R12" s="3"/>
      <c r="S12" s="3"/>
    </row>
    <row r="13" customFormat="false" ht="12.75" hidden="false" customHeight="false" outlineLevel="0" collapsed="false">
      <c r="A13" s="37" t="n">
        <v>37135</v>
      </c>
      <c r="B13" s="38" t="n">
        <f aca="false">+C13-C12</f>
        <v>1887128</v>
      </c>
      <c r="C13" s="38" t="n">
        <v>13324402</v>
      </c>
      <c r="D13" s="39" t="n">
        <f aca="false">+D12+444853+2638575</f>
        <v>48105638.23</v>
      </c>
      <c r="E13" s="39"/>
      <c r="F13" s="40" t="n">
        <f aca="false">+(D13-E13)/C13</f>
        <v>3.61034125433922</v>
      </c>
      <c r="G13" s="41" t="n">
        <f aca="false">0.0393+0.02</f>
        <v>0.0593</v>
      </c>
      <c r="H13" s="42" t="n">
        <f aca="false">+D13*(G13/12)</f>
        <v>237722.028919917</v>
      </c>
      <c r="I13" s="41" t="n">
        <v>0.09</v>
      </c>
      <c r="J13" s="42" t="n">
        <f aca="false">+D13*(I13/12)</f>
        <v>360792.286725</v>
      </c>
      <c r="K13" s="43" t="n">
        <f aca="false">+H13-J13</f>
        <v>-123070.257805083</v>
      </c>
      <c r="L13" s="3"/>
      <c r="M13" s="3"/>
      <c r="N13" s="3"/>
      <c r="O13" s="3"/>
      <c r="P13" s="31" t="n">
        <v>1049348</v>
      </c>
      <c r="Q13" s="32" t="n">
        <f aca="false">+M13-P13</f>
        <v>-1049348</v>
      </c>
      <c r="R13" s="3"/>
      <c r="S13" s="3"/>
    </row>
    <row r="14" customFormat="false" ht="12.75" hidden="false" customHeight="false" outlineLevel="0" collapsed="false">
      <c r="A14" s="33" t="n">
        <v>37165</v>
      </c>
      <c r="B14" s="31" t="n">
        <f aca="false">+C14-C13</f>
        <v>1627317</v>
      </c>
      <c r="C14" s="31" t="n">
        <v>14951719</v>
      </c>
      <c r="D14" s="26" t="n">
        <f aca="false">+D13+5439307</f>
        <v>53544945.23</v>
      </c>
      <c r="E14" s="26"/>
      <c r="F14" s="27" t="n">
        <f aca="false">+(D14-E14)/C14</f>
        <v>3.58118991067181</v>
      </c>
      <c r="G14" s="28" t="n">
        <f aca="false">0.0391+0.02</f>
        <v>0.0591</v>
      </c>
      <c r="H14" s="29" t="n">
        <f aca="false">+D14*(G14/12)</f>
        <v>263708.85525775</v>
      </c>
      <c r="I14" s="28" t="n">
        <v>0.09</v>
      </c>
      <c r="J14" s="29" t="n">
        <f aca="false">+D14*(I14/12)</f>
        <v>401587.089225</v>
      </c>
      <c r="K14" s="30" t="n">
        <f aca="false">+H14-J14</f>
        <v>-137878.23396725</v>
      </c>
      <c r="L14" s="3"/>
      <c r="M14" s="3"/>
      <c r="N14" s="3"/>
      <c r="O14" s="3"/>
      <c r="P14" s="3"/>
      <c r="Q14" s="3"/>
      <c r="R14" s="3"/>
      <c r="S14" s="3"/>
    </row>
    <row r="15" customFormat="false" ht="12.75" hidden="false" customHeight="false" outlineLevel="0" collapsed="false">
      <c r="A15" s="33" t="n">
        <v>37196</v>
      </c>
      <c r="B15" s="44" t="n">
        <f aca="false">+C15-C14</f>
        <v>-2564363</v>
      </c>
      <c r="C15" s="31" t="n">
        <v>12387356</v>
      </c>
      <c r="D15" s="26" t="n">
        <f aca="false">+D14+(B15*F14)</f>
        <v>44361474.3270999</v>
      </c>
      <c r="E15" s="26"/>
      <c r="F15" s="26"/>
      <c r="G15" s="28" t="n">
        <f aca="false">0.039+0.02</f>
        <v>0.059</v>
      </c>
      <c r="H15" s="29" t="n">
        <f aca="false">+D15*(G15/12)</f>
        <v>218110.582108241</v>
      </c>
      <c r="I15" s="28" t="n">
        <v>0.09</v>
      </c>
      <c r="J15" s="29" t="n">
        <f aca="false">+D15*(I15/12)</f>
        <v>332711.057453249</v>
      </c>
      <c r="K15" s="30" t="n">
        <f aca="false">+H15-J15</f>
        <v>-114600.475345008</v>
      </c>
      <c r="L15" s="3"/>
      <c r="M15" s="3"/>
      <c r="N15" s="3"/>
      <c r="O15" s="3"/>
      <c r="P15" s="3"/>
      <c r="Q15" s="3"/>
      <c r="R15" s="3"/>
      <c r="S15" s="3"/>
    </row>
    <row r="16" customFormat="false" ht="12.75" hidden="false" customHeight="false" outlineLevel="0" collapsed="false">
      <c r="A16" s="33" t="n">
        <v>37226</v>
      </c>
      <c r="B16" s="44" t="n">
        <f aca="false">+C16-C15</f>
        <v>-4920003</v>
      </c>
      <c r="C16" s="31" t="n">
        <v>7467353</v>
      </c>
      <c r="D16" s="26" t="n">
        <f aca="false">+D15+(B16*F14)</f>
        <v>26742009.2230249</v>
      </c>
      <c r="E16" s="26"/>
      <c r="F16" s="26"/>
      <c r="G16" s="28" t="n">
        <f aca="false">0.039+0.02</f>
        <v>0.059</v>
      </c>
      <c r="H16" s="29" t="n">
        <f aca="false">+D16*(G16/12)</f>
        <v>131481.545346539</v>
      </c>
      <c r="I16" s="28" t="n">
        <v>0.09</v>
      </c>
      <c r="J16" s="29" t="n">
        <f aca="false">+D16*(I16/12)</f>
        <v>200565.069172687</v>
      </c>
      <c r="K16" s="30" t="n">
        <f aca="false">+H16-J16</f>
        <v>-69083.5238261476</v>
      </c>
      <c r="L16" s="3"/>
      <c r="M16" s="3"/>
      <c r="N16" s="3"/>
      <c r="O16" s="3"/>
      <c r="P16" s="3"/>
      <c r="Q16" s="3"/>
      <c r="R16" s="3"/>
      <c r="S16" s="3"/>
    </row>
    <row r="17" customFormat="false" ht="12.75" hidden="false" customHeight="false" outlineLevel="0" collapsed="false">
      <c r="A17" s="33" t="n">
        <v>37257</v>
      </c>
      <c r="B17" s="44" t="n">
        <f aca="false">+C17-C16</f>
        <v>-2162337</v>
      </c>
      <c r="C17" s="31" t="n">
        <v>5305016</v>
      </c>
      <c r="D17" s="26" t="n">
        <f aca="false">+D16+(B17*F14)</f>
        <v>18998269.7751525</v>
      </c>
      <c r="E17" s="26"/>
      <c r="F17" s="26"/>
      <c r="G17" s="28" t="n">
        <f aca="false">0.0391+0.02</f>
        <v>0.0591</v>
      </c>
      <c r="H17" s="29" t="n">
        <f aca="false">+D17*(G17/12)</f>
        <v>93566.4786426262</v>
      </c>
      <c r="I17" s="28" t="n">
        <v>0.09</v>
      </c>
      <c r="J17" s="29" t="n">
        <f aca="false">+D17*(I17/12)</f>
        <v>142487.023313644</v>
      </c>
      <c r="K17" s="30" t="n">
        <f aca="false">+H17-J17</f>
        <v>-48920.5446710177</v>
      </c>
      <c r="L17" s="3"/>
      <c r="M17" s="3"/>
      <c r="N17" s="3"/>
      <c r="O17" s="3"/>
      <c r="P17" s="3"/>
      <c r="Q17" s="3"/>
      <c r="R17" s="3"/>
      <c r="S17" s="3"/>
    </row>
    <row r="18" customFormat="false" ht="12.75" hidden="false" customHeight="false" outlineLevel="0" collapsed="false">
      <c r="A18" s="33" t="n">
        <v>37288</v>
      </c>
      <c r="B18" s="44" t="n">
        <f aca="false">+C18-C17</f>
        <v>-2002604</v>
      </c>
      <c r="C18" s="31" t="n">
        <v>3302412</v>
      </c>
      <c r="D18" s="26" t="n">
        <f aca="false">+D17+(B18*F14)</f>
        <v>11826564.5352815</v>
      </c>
      <c r="E18" s="26"/>
      <c r="F18" s="26"/>
      <c r="G18" s="28" t="n">
        <f aca="false">0.0395+0.02</f>
        <v>0.0595</v>
      </c>
      <c r="H18" s="29" t="n">
        <f aca="false">+D18*(G18/12)</f>
        <v>58640.0491541042</v>
      </c>
      <c r="I18" s="28" t="n">
        <v>0.09</v>
      </c>
      <c r="J18" s="29" t="n">
        <f aca="false">+D18*(I18/12)</f>
        <v>88699.2340146113</v>
      </c>
      <c r="K18" s="30" t="n">
        <f aca="false">+H18-J18</f>
        <v>-30059.1848605072</v>
      </c>
      <c r="L18" s="3"/>
      <c r="M18" s="3"/>
      <c r="N18" s="3"/>
      <c r="O18" s="3"/>
      <c r="P18" s="3"/>
      <c r="Q18" s="3"/>
      <c r="R18" s="3"/>
      <c r="S18" s="3"/>
    </row>
    <row r="19" customFormat="false" ht="12.75" hidden="false" customHeight="false" outlineLevel="0" collapsed="false">
      <c r="A19" s="33" t="n">
        <v>37316</v>
      </c>
      <c r="B19" s="44" t="n">
        <f aca="false">+C19-C18</f>
        <v>-3302412</v>
      </c>
      <c r="C19" s="31" t="n">
        <v>0</v>
      </c>
      <c r="D19" s="26" t="n">
        <f aca="false">+D18+(B19*F14)</f>
        <v>0</v>
      </c>
      <c r="E19" s="26"/>
      <c r="F19" s="26"/>
      <c r="G19" s="28" t="n">
        <f aca="false">0.0398+0.02</f>
        <v>0.0598</v>
      </c>
      <c r="H19" s="29" t="n">
        <f aca="false">+D19*(G19/12)</f>
        <v>0</v>
      </c>
      <c r="I19" s="28" t="n">
        <v>0.09</v>
      </c>
      <c r="J19" s="29" t="n">
        <f aca="false">+D19*(I19/12)</f>
        <v>0</v>
      </c>
      <c r="K19" s="30" t="n">
        <f aca="false">+H19-J19</f>
        <v>0</v>
      </c>
      <c r="L19" s="3"/>
      <c r="M19" s="3"/>
      <c r="N19" s="3"/>
      <c r="O19" s="3"/>
      <c r="P19" s="3"/>
      <c r="Q19" s="3"/>
      <c r="R19" s="3"/>
      <c r="S19" s="3"/>
    </row>
    <row r="20" customFormat="false" ht="12.75" hidden="false" customHeight="false" outlineLevel="0" collapsed="false">
      <c r="A20" s="33"/>
      <c r="B20" s="31"/>
      <c r="C20" s="45"/>
      <c r="D20" s="46"/>
      <c r="E20" s="46"/>
      <c r="F20" s="46"/>
      <c r="G20" s="28"/>
      <c r="H20" s="47"/>
      <c r="I20" s="28"/>
      <c r="J20" s="48"/>
      <c r="K20" s="49"/>
      <c r="L20" s="3"/>
      <c r="M20" s="3"/>
      <c r="N20" s="3"/>
      <c r="O20" s="3"/>
      <c r="P20" s="3"/>
      <c r="Q20" s="3"/>
      <c r="R20" s="3"/>
      <c r="S20" s="3"/>
    </row>
    <row r="21" customFormat="false" ht="12.75" hidden="false" customHeight="false" outlineLevel="0" collapsed="false">
      <c r="A21" s="33" t="s">
        <v>18</v>
      </c>
      <c r="B21" s="50"/>
      <c r="C21" s="45"/>
      <c r="D21" s="46" t="n">
        <f aca="false">SUM(D7:D20)</f>
        <v>383996856.537011</v>
      </c>
      <c r="E21" s="46" t="n">
        <f aca="false">SUM(E7:E20)</f>
        <v>-349753</v>
      </c>
      <c r="F21" s="46"/>
      <c r="G21" s="28"/>
      <c r="H21" s="47" t="n">
        <f aca="false">SUM(H7:H20)</f>
        <v>2022280.18979227</v>
      </c>
      <c r="I21" s="28"/>
      <c r="J21" s="48" t="n">
        <f aca="false">SUM(J7:J20)</f>
        <v>2879976.42402758</v>
      </c>
      <c r="K21" s="49" t="n">
        <f aca="false">+H21-J21</f>
        <v>-857696.234235311</v>
      </c>
      <c r="L21" s="3"/>
      <c r="M21" s="3"/>
      <c r="N21" s="3"/>
      <c r="O21" s="3"/>
      <c r="P21" s="3"/>
      <c r="Q21" s="3"/>
      <c r="R21" s="3"/>
      <c r="S21" s="3"/>
    </row>
    <row r="22" customFormat="false" ht="13.5" hidden="false" customHeight="false" outlineLevel="0" collapsed="false">
      <c r="A22" s="51"/>
      <c r="B22" s="52"/>
      <c r="C22" s="52"/>
      <c r="D22" s="53"/>
      <c r="E22" s="53"/>
      <c r="F22" s="53"/>
      <c r="G22" s="54"/>
      <c r="H22" s="55"/>
      <c r="I22" s="54"/>
      <c r="J22" s="56"/>
      <c r="K22" s="57"/>
      <c r="L22" s="3"/>
      <c r="M22" s="3"/>
      <c r="N22" s="3"/>
      <c r="O22" s="3"/>
      <c r="P22" s="3"/>
      <c r="Q22" s="3"/>
      <c r="R22" s="3"/>
      <c r="S22" s="3"/>
    </row>
    <row r="23" customFormat="false" ht="12.75" hidden="false" customHeight="false" outlineLevel="0" collapsed="false">
      <c r="A23" s="58"/>
      <c r="B23" s="58"/>
      <c r="C23" s="58"/>
      <c r="D23" s="13"/>
      <c r="E23" s="13"/>
      <c r="F23" s="1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2.75" hidden="false" customHeight="false" outlineLevel="0" collapsed="false">
      <c r="A24" s="59" t="s">
        <v>19</v>
      </c>
      <c r="B24" s="58"/>
      <c r="C24" s="58"/>
      <c r="D24" s="3"/>
      <c r="E24" s="3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2.75" hidden="false" customHeight="false" outlineLevel="0" collapsed="false">
      <c r="A25" s="0" t="s">
        <v>20</v>
      </c>
      <c r="B25" s="59"/>
      <c r="C25" s="59"/>
      <c r="D25" s="13"/>
      <c r="E25" s="13"/>
      <c r="F25" s="12"/>
      <c r="G25" s="12"/>
      <c r="H25" s="13"/>
      <c r="I25" s="60"/>
      <c r="J25" s="13"/>
      <c r="K25" s="60"/>
      <c r="L25" s="3"/>
      <c r="M25" s="0" t="s">
        <v>21</v>
      </c>
      <c r="U25" s="0" t="s">
        <v>22</v>
      </c>
    </row>
    <row r="26" customFormat="false" ht="12.75" hidden="false" customHeight="false" outlineLevel="0" collapsed="false">
      <c r="A26" s="12"/>
      <c r="B26" s="12"/>
      <c r="C26" s="12"/>
      <c r="D26" s="13"/>
      <c r="E26" s="13"/>
      <c r="F26" s="12"/>
      <c r="G26" s="12"/>
      <c r="H26" s="13"/>
      <c r="I26" s="12"/>
      <c r="J26" s="13"/>
      <c r="K26" s="13"/>
      <c r="L26" s="3"/>
    </row>
    <row r="27" customFormat="false" ht="12.75" hidden="false" customHeight="false" outlineLevel="0" collapsed="false">
      <c r="A27" s="12"/>
      <c r="B27" s="12" t="s">
        <v>4</v>
      </c>
      <c r="C27" s="12" t="s">
        <v>5</v>
      </c>
      <c r="D27" s="13" t="s">
        <v>6</v>
      </c>
      <c r="E27" s="13" t="s">
        <v>7</v>
      </c>
      <c r="F27" s="12" t="s">
        <v>23</v>
      </c>
      <c r="G27" s="12"/>
      <c r="H27" s="12"/>
      <c r="I27" s="12"/>
      <c r="J27" s="12"/>
      <c r="K27" s="12"/>
      <c r="L27" s="3"/>
      <c r="N27" s="12" t="s">
        <v>4</v>
      </c>
      <c r="O27" s="12" t="s">
        <v>5</v>
      </c>
      <c r="P27" s="13" t="s">
        <v>6</v>
      </c>
      <c r="Q27" s="13" t="s">
        <v>7</v>
      </c>
      <c r="R27" s="12" t="s">
        <v>23</v>
      </c>
      <c r="S27" s="12"/>
      <c r="V27" s="12" t="s">
        <v>4</v>
      </c>
      <c r="W27" s="12" t="s">
        <v>5</v>
      </c>
      <c r="X27" s="13" t="s">
        <v>6</v>
      </c>
      <c r="Y27" s="13" t="s">
        <v>7</v>
      </c>
      <c r="Z27" s="12" t="s">
        <v>23</v>
      </c>
    </row>
    <row r="28" customFormat="false" ht="12.75" hidden="false" customHeight="false" outlineLevel="0" collapsed="false">
      <c r="A28" s="19" t="s">
        <v>11</v>
      </c>
      <c r="B28" s="19" t="s">
        <v>3</v>
      </c>
      <c r="C28" s="19" t="s">
        <v>3</v>
      </c>
      <c r="D28" s="20" t="s">
        <v>24</v>
      </c>
      <c r="E28" s="20" t="s">
        <v>12</v>
      </c>
      <c r="F28" s="19" t="s">
        <v>25</v>
      </c>
      <c r="G28" s="19"/>
      <c r="H28" s="19" t="s">
        <v>13</v>
      </c>
      <c r="I28" s="19"/>
      <c r="J28" s="19"/>
      <c r="K28" s="19"/>
      <c r="L28" s="3"/>
      <c r="M28" s="19" t="s">
        <v>11</v>
      </c>
      <c r="N28" s="19" t="s">
        <v>3</v>
      </c>
      <c r="O28" s="19" t="s">
        <v>3</v>
      </c>
      <c r="P28" s="20" t="s">
        <v>12</v>
      </c>
      <c r="Q28" s="20" t="s">
        <v>12</v>
      </c>
      <c r="R28" s="19" t="s">
        <v>25</v>
      </c>
      <c r="S28" s="19" t="s">
        <v>13</v>
      </c>
      <c r="T28" s="12"/>
      <c r="U28" s="19" t="s">
        <v>11</v>
      </c>
      <c r="V28" s="19" t="s">
        <v>3</v>
      </c>
      <c r="W28" s="19" t="s">
        <v>3</v>
      </c>
      <c r="X28" s="20" t="s">
        <v>12</v>
      </c>
      <c r="Y28" s="20" t="s">
        <v>12</v>
      </c>
      <c r="Z28" s="19" t="s">
        <v>25</v>
      </c>
      <c r="AA28" s="19" t="s">
        <v>13</v>
      </c>
      <c r="AB28" s="12"/>
    </row>
    <row r="29" customFormat="false" ht="12.75" hidden="false" customHeight="false" outlineLevel="0" collapsed="false">
      <c r="A29" s="12"/>
      <c r="B29" s="12"/>
      <c r="C29" s="12"/>
      <c r="D29" s="13"/>
      <c r="E29" s="13"/>
      <c r="F29" s="12"/>
      <c r="G29" s="12"/>
      <c r="H29" s="13"/>
      <c r="I29" s="12"/>
      <c r="J29" s="61"/>
      <c r="K29" s="13"/>
      <c r="L29" s="3"/>
      <c r="T29" s="19"/>
      <c r="AA29" s="19"/>
      <c r="AB29" s="19"/>
    </row>
    <row r="30" customFormat="false" ht="12.75" hidden="false" customHeight="false" outlineLevel="0" collapsed="false">
      <c r="A30" s="62" t="n">
        <v>36951</v>
      </c>
      <c r="B30" s="31" t="n">
        <f aca="false">2391039-229584</f>
        <v>2161455</v>
      </c>
      <c r="C30" s="31" t="n">
        <v>2161455</v>
      </c>
      <c r="D30" s="26" t="n">
        <v>11019220.6923915</v>
      </c>
      <c r="E30" s="26"/>
      <c r="F30" s="26" t="n">
        <f aca="false">+D30-E30</f>
        <v>11019220.6923915</v>
      </c>
      <c r="G30" s="28"/>
      <c r="H30" s="27" t="n">
        <f aca="false">+F30/B30</f>
        <v>5.0980569534834</v>
      </c>
      <c r="I30" s="26" t="n">
        <v>0</v>
      </c>
      <c r="J30" s="36" t="n">
        <v>0</v>
      </c>
      <c r="K30" s="31"/>
      <c r="L30" s="32"/>
      <c r="M30" s="50" t="n">
        <v>36951</v>
      </c>
      <c r="N30" s="0" t="n">
        <v>0</v>
      </c>
      <c r="O30" s="45" t="n">
        <f aca="false">+N30</f>
        <v>0</v>
      </c>
      <c r="P30" s="26" t="n">
        <v>0</v>
      </c>
      <c r="Q30" s="26" t="n">
        <v>0</v>
      </c>
      <c r="R30" s="26" t="n">
        <f aca="false">+P30-Q30</f>
        <v>0</v>
      </c>
      <c r="S30" s="27" t="n">
        <f aca="false">IF(R30&lt;&gt;0,+R30/N30,0)</f>
        <v>0</v>
      </c>
      <c r="U30" s="50" t="n">
        <v>36951</v>
      </c>
      <c r="V30" s="63" t="n">
        <f aca="false">+B30+N30</f>
        <v>2161455</v>
      </c>
      <c r="W30" s="63" t="n">
        <f aca="false">+V30</f>
        <v>2161455</v>
      </c>
      <c r="X30" s="26" t="n">
        <f aca="false">+D30+P30</f>
        <v>11019220.6923915</v>
      </c>
      <c r="Y30" s="26" t="n">
        <f aca="false">+E30+Q30</f>
        <v>0</v>
      </c>
      <c r="Z30" s="26" t="n">
        <f aca="false">+F30+R30</f>
        <v>11019220.6923915</v>
      </c>
      <c r="AA30" s="27" t="n">
        <f aca="false">IF(Z30&lt;&gt;0,+Z30/V30,0)</f>
        <v>5.0980569534834</v>
      </c>
      <c r="AB30" s="27"/>
    </row>
    <row r="31" customFormat="false" ht="12.75" hidden="false" customHeight="false" outlineLevel="0" collapsed="false">
      <c r="A31" s="62" t="n">
        <v>36982</v>
      </c>
      <c r="B31" s="31" t="n">
        <f aca="false">+C31-C30</f>
        <v>1266261</v>
      </c>
      <c r="C31" s="31" t="n">
        <v>3427716</v>
      </c>
      <c r="D31" s="26" t="n">
        <f aca="false">+D8-D7</f>
        <v>6644037.52746829</v>
      </c>
      <c r="E31" s="26" t="n">
        <v>-91800</v>
      </c>
      <c r="F31" s="26" t="n">
        <f aca="false">+D31-E31</f>
        <v>6735837.52746829</v>
      </c>
      <c r="G31" s="28"/>
      <c r="H31" s="27" t="n">
        <f aca="false">+F31/B31</f>
        <v>5.31947009934626</v>
      </c>
      <c r="I31" s="26" t="n">
        <v>-91800</v>
      </c>
      <c r="J31" s="36" t="n">
        <v>280165</v>
      </c>
      <c r="K31" s="31"/>
      <c r="L31" s="32"/>
      <c r="M31" s="50" t="n">
        <v>36982</v>
      </c>
      <c r="N31" s="0" t="n">
        <v>0</v>
      </c>
      <c r="O31" s="45" t="n">
        <f aca="false">+O30+N31</f>
        <v>0</v>
      </c>
      <c r="P31" s="26" t="n">
        <v>0</v>
      </c>
      <c r="Q31" s="26" t="n">
        <v>0</v>
      </c>
      <c r="R31" s="26" t="n">
        <f aca="false">+P31-Q31</f>
        <v>0</v>
      </c>
      <c r="S31" s="27" t="n">
        <f aca="false">IF(R31&lt;&gt;0,+R31/N31,0)</f>
        <v>0</v>
      </c>
      <c r="U31" s="50" t="n">
        <v>36982</v>
      </c>
      <c r="V31" s="63" t="n">
        <f aca="false">+B31+N31</f>
        <v>1266261</v>
      </c>
      <c r="W31" s="63" t="n">
        <f aca="false">+W30+V31</f>
        <v>3427716</v>
      </c>
      <c r="X31" s="26" t="n">
        <f aca="false">+D31+P31</f>
        <v>6644037.52746829</v>
      </c>
      <c r="Y31" s="26" t="n">
        <f aca="false">+E31+Q31</f>
        <v>-91800</v>
      </c>
      <c r="Z31" s="26" t="n">
        <f aca="false">+F31+R31</f>
        <v>6735837.52746829</v>
      </c>
      <c r="AA31" s="27" t="n">
        <f aca="false">IF(Z31&lt;&gt;0,+Z31/V31,0)</f>
        <v>5.31947009934626</v>
      </c>
      <c r="AB31" s="27"/>
    </row>
    <row r="32" customFormat="false" ht="12.75" hidden="false" customHeight="false" outlineLevel="0" collapsed="false">
      <c r="A32" s="62" t="n">
        <v>37012</v>
      </c>
      <c r="B32" s="31" t="n">
        <f aca="false">+C32-C31</f>
        <v>2031347</v>
      </c>
      <c r="C32" s="31" t="n">
        <v>5459063</v>
      </c>
      <c r="D32" s="26" t="n">
        <f aca="false">+D9-D8</f>
        <v>9306889.24434128</v>
      </c>
      <c r="E32" s="26" t="n">
        <v>38672</v>
      </c>
      <c r="F32" s="26" t="n">
        <f aca="false">+D32-E32</f>
        <v>9268217.24434128</v>
      </c>
      <c r="G32" s="28"/>
      <c r="H32" s="27" t="n">
        <f aca="false">+F32/B32</f>
        <v>4.56259676182419</v>
      </c>
      <c r="I32" s="26" t="n">
        <v>38672</v>
      </c>
      <c r="J32" s="36" t="n">
        <v>1161561</v>
      </c>
      <c r="K32" s="31"/>
      <c r="L32" s="32"/>
      <c r="M32" s="50" t="n">
        <v>37012</v>
      </c>
      <c r="N32" s="0" t="n">
        <v>0</v>
      </c>
      <c r="O32" s="45" t="n">
        <f aca="false">+O31+N32</f>
        <v>0</v>
      </c>
      <c r="P32" s="26" t="n">
        <v>0</v>
      </c>
      <c r="Q32" s="26" t="n">
        <v>0</v>
      </c>
      <c r="R32" s="26" t="n">
        <f aca="false">+P32-Q32</f>
        <v>0</v>
      </c>
      <c r="S32" s="27" t="n">
        <f aca="false">IF(R32&lt;&gt;0,+R32/N32,0)</f>
        <v>0</v>
      </c>
      <c r="U32" s="50" t="n">
        <v>37012</v>
      </c>
      <c r="V32" s="63" t="n">
        <f aca="false">+B32+N32</f>
        <v>2031347</v>
      </c>
      <c r="W32" s="63" t="n">
        <f aca="false">+W31+V32</f>
        <v>5459063</v>
      </c>
      <c r="X32" s="26" t="n">
        <f aca="false">+D32+P32</f>
        <v>9306889.24434128</v>
      </c>
      <c r="Y32" s="26" t="n">
        <f aca="false">+E32+Q32</f>
        <v>38672</v>
      </c>
      <c r="Z32" s="26" t="n">
        <f aca="false">+F32+R32</f>
        <v>9268217.24434128</v>
      </c>
      <c r="AA32" s="27" t="n">
        <f aca="false">IF(Z32&lt;&gt;0,+Z32/V32,0)</f>
        <v>4.56259676182419</v>
      </c>
      <c r="AB32" s="27"/>
    </row>
    <row r="33" customFormat="false" ht="12.75" hidden="false" customHeight="false" outlineLevel="0" collapsed="false">
      <c r="A33" s="62" t="n">
        <v>37043</v>
      </c>
      <c r="B33" s="31" t="n">
        <f aca="false">+C33-C32</f>
        <v>2822006</v>
      </c>
      <c r="C33" s="31" t="n">
        <v>8281069</v>
      </c>
      <c r="D33" s="26" t="n">
        <f aca="false">+D10-D9</f>
        <v>10053112.305799</v>
      </c>
      <c r="E33" s="26" t="n">
        <v>2355525</v>
      </c>
      <c r="F33" s="26" t="n">
        <f aca="false">+D33-E33</f>
        <v>7697587.30579897</v>
      </c>
      <c r="G33" s="28"/>
      <c r="H33" s="27" t="n">
        <f aca="false">+F33/B33</f>
        <v>2.72770054556899</v>
      </c>
      <c r="I33" s="26" t="n">
        <v>2355525</v>
      </c>
      <c r="J33" s="36" t="n">
        <v>-166011</v>
      </c>
      <c r="K33" s="31"/>
      <c r="L33" s="32"/>
      <c r="M33" s="50" t="n">
        <v>37043</v>
      </c>
      <c r="N33" s="0" t="n">
        <v>0</v>
      </c>
      <c r="O33" s="45" t="n">
        <f aca="false">+O32+N33</f>
        <v>0</v>
      </c>
      <c r="P33" s="26" t="n">
        <v>0</v>
      </c>
      <c r="Q33" s="26" t="n">
        <v>0</v>
      </c>
      <c r="R33" s="26" t="n">
        <f aca="false">+P33-Q33</f>
        <v>0</v>
      </c>
      <c r="S33" s="27" t="n">
        <f aca="false">IF(R33&lt;&gt;0,+R33/N33,0)</f>
        <v>0</v>
      </c>
      <c r="U33" s="50" t="n">
        <v>37043</v>
      </c>
      <c r="V33" s="63" t="n">
        <f aca="false">+B33+N33</f>
        <v>2822006</v>
      </c>
      <c r="W33" s="63" t="n">
        <f aca="false">+W32+V33</f>
        <v>8281069</v>
      </c>
      <c r="X33" s="26" t="n">
        <f aca="false">+D33+P33</f>
        <v>10053112.305799</v>
      </c>
      <c r="Y33" s="26" t="n">
        <f aca="false">+E33+Q33</f>
        <v>2355525</v>
      </c>
      <c r="Z33" s="26" t="n">
        <f aca="false">+F33+R33</f>
        <v>7697587.30579897</v>
      </c>
      <c r="AA33" s="27" t="n">
        <f aca="false">IF(Z33&lt;&gt;0,+Z33/V33,0)</f>
        <v>2.72770054556899</v>
      </c>
      <c r="AB33" s="27"/>
    </row>
    <row r="34" customFormat="false" ht="12.75" hidden="false" customHeight="false" outlineLevel="0" collapsed="false">
      <c r="A34" s="50" t="n">
        <v>37073</v>
      </c>
      <c r="B34" s="31" t="n">
        <f aca="false">+C34-C33</f>
        <v>2179520</v>
      </c>
      <c r="C34" s="31" t="n">
        <v>10460589</v>
      </c>
      <c r="D34" s="26" t="n">
        <f aca="false">+D11-D10</f>
        <v>5696599.07</v>
      </c>
      <c r="E34" s="26" t="n">
        <v>171120</v>
      </c>
      <c r="F34" s="26" t="n">
        <f aca="false">+D34-E34</f>
        <v>5525479.07</v>
      </c>
      <c r="G34" s="28"/>
      <c r="H34" s="27" t="n">
        <f aca="false">+F34/B34</f>
        <v>2.53518163173543</v>
      </c>
      <c r="I34" s="26" t="n">
        <v>171120</v>
      </c>
      <c r="J34" s="36" t="n">
        <v>-1625468</v>
      </c>
      <c r="K34" s="31"/>
      <c r="L34" s="32"/>
      <c r="M34" s="50" t="n">
        <v>37073</v>
      </c>
      <c r="N34" s="0" t="n">
        <v>0</v>
      </c>
      <c r="O34" s="45" t="n">
        <f aca="false">+O33+N34</f>
        <v>0</v>
      </c>
      <c r="P34" s="26" t="n">
        <v>0</v>
      </c>
      <c r="Q34" s="26" t="n">
        <v>0</v>
      </c>
      <c r="R34" s="26" t="n">
        <f aca="false">+P34-Q34</f>
        <v>0</v>
      </c>
      <c r="S34" s="27" t="n">
        <f aca="false">IF(R34&lt;&gt;0,+R34/N34,0)</f>
        <v>0</v>
      </c>
      <c r="U34" s="50" t="n">
        <v>37073</v>
      </c>
      <c r="V34" s="63" t="n">
        <f aca="false">+B34+N34</f>
        <v>2179520</v>
      </c>
      <c r="W34" s="63" t="n">
        <f aca="false">+W33+V34</f>
        <v>10460589</v>
      </c>
      <c r="X34" s="26" t="n">
        <f aca="false">+D34+P34</f>
        <v>5696599.07</v>
      </c>
      <c r="Y34" s="26" t="n">
        <f aca="false">+E34+Q34</f>
        <v>171120</v>
      </c>
      <c r="Z34" s="26" t="n">
        <f aca="false">+F34+R34</f>
        <v>5525479.07</v>
      </c>
      <c r="AA34" s="27" t="n">
        <f aca="false">IF(Z34&lt;&gt;0,+Z34/V34,0)</f>
        <v>2.53518163173543</v>
      </c>
      <c r="AB34" s="27"/>
    </row>
    <row r="35" customFormat="false" ht="12.75" hidden="false" customHeight="false" outlineLevel="0" collapsed="false">
      <c r="A35" s="50" t="n">
        <v>37104</v>
      </c>
      <c r="B35" s="31" t="n">
        <f aca="false">+C35-C34</f>
        <v>976685</v>
      </c>
      <c r="C35" s="31" t="n">
        <v>11437274</v>
      </c>
      <c r="D35" s="26" t="n">
        <f aca="false">+D12-D11</f>
        <v>2302351.38999999</v>
      </c>
      <c r="E35" s="26" t="n">
        <v>172282.5</v>
      </c>
      <c r="F35" s="26" t="n">
        <f aca="false">+D35-E35</f>
        <v>2130068.88999999</v>
      </c>
      <c r="G35" s="28"/>
      <c r="H35" s="27" t="n">
        <f aca="false">+F35/B35</f>
        <v>2.18091696913538</v>
      </c>
      <c r="I35" s="26" t="n">
        <v>172282.5</v>
      </c>
      <c r="J35" s="36" t="n">
        <v>-118846</v>
      </c>
      <c r="K35" s="31"/>
      <c r="L35" s="32"/>
      <c r="M35" s="50" t="n">
        <v>37104</v>
      </c>
      <c r="N35" s="0" t="n">
        <v>0</v>
      </c>
      <c r="O35" s="45" t="n">
        <f aca="false">+O34+N35</f>
        <v>0</v>
      </c>
      <c r="P35" s="26" t="n">
        <v>0</v>
      </c>
      <c r="Q35" s="26" t="n">
        <v>0</v>
      </c>
      <c r="R35" s="26" t="n">
        <f aca="false">+P35-Q35</f>
        <v>0</v>
      </c>
      <c r="S35" s="27" t="n">
        <f aca="false">IF(R35&lt;&gt;0,+R35/N35,0)</f>
        <v>0</v>
      </c>
      <c r="U35" s="50" t="n">
        <v>37104</v>
      </c>
      <c r="V35" s="63" t="n">
        <f aca="false">+B35+N35</f>
        <v>976685</v>
      </c>
      <c r="W35" s="63" t="n">
        <f aca="false">+W34+V35</f>
        <v>11437274</v>
      </c>
      <c r="X35" s="26" t="n">
        <f aca="false">+D35+P35</f>
        <v>2302351.38999999</v>
      </c>
      <c r="Y35" s="26" t="n">
        <f aca="false">+E35+Q35</f>
        <v>172282.5</v>
      </c>
      <c r="Z35" s="26" t="n">
        <f aca="false">+F35+R35</f>
        <v>2130068.88999999</v>
      </c>
      <c r="AA35" s="27" t="n">
        <f aca="false">IF(Z35&lt;&gt;0,+Z35/V35,0)</f>
        <v>2.18091696913538</v>
      </c>
      <c r="AB35" s="27"/>
    </row>
    <row r="36" customFormat="false" ht="12.75" hidden="false" customHeight="false" outlineLevel="0" collapsed="false">
      <c r="A36" s="50" t="n">
        <v>37135</v>
      </c>
      <c r="B36" s="31" t="n">
        <f aca="false">+C36-C35</f>
        <v>1887128</v>
      </c>
      <c r="C36" s="31" t="n">
        <v>13324402</v>
      </c>
      <c r="D36" s="26"/>
      <c r="E36" s="26" t="n">
        <v>-3742835</v>
      </c>
      <c r="F36" s="26" t="n">
        <f aca="false">+D36-E36</f>
        <v>3742835</v>
      </c>
      <c r="G36" s="28"/>
      <c r="H36" s="27" t="n">
        <f aca="false">+F36/B36</f>
        <v>1.98334983106604</v>
      </c>
      <c r="I36" s="26"/>
      <c r="K36" s="31"/>
      <c r="L36" s="32"/>
      <c r="M36" s="50" t="n">
        <v>37135</v>
      </c>
      <c r="N36" s="0" t="n">
        <v>0</v>
      </c>
      <c r="O36" s="45" t="n">
        <f aca="false">+O35+N36</f>
        <v>0</v>
      </c>
      <c r="P36" s="26" t="n">
        <v>0</v>
      </c>
      <c r="Q36" s="26" t="n">
        <v>0</v>
      </c>
      <c r="R36" s="26" t="n">
        <f aca="false">+P36-Q36</f>
        <v>0</v>
      </c>
      <c r="S36" s="27" t="n">
        <f aca="false">IF(R36&lt;&gt;0,+R36/N36,0)</f>
        <v>0</v>
      </c>
      <c r="U36" s="50" t="n">
        <v>37135</v>
      </c>
      <c r="V36" s="63" t="n">
        <f aca="false">+B36+N36</f>
        <v>1887128</v>
      </c>
      <c r="W36" s="63" t="n">
        <f aca="false">+W35+V36</f>
        <v>13324402</v>
      </c>
      <c r="X36" s="26" t="n">
        <f aca="false">+D36+P36</f>
        <v>0</v>
      </c>
      <c r="Y36" s="26" t="n">
        <f aca="false">+E36+Q36</f>
        <v>-3742835</v>
      </c>
      <c r="Z36" s="26" t="n">
        <f aca="false">+F36+R36</f>
        <v>3742835</v>
      </c>
      <c r="AA36" s="27" t="n">
        <f aca="false">IF(Z36&lt;&gt;0,+Z36/V36,0)</f>
        <v>1.98334983106604</v>
      </c>
      <c r="AB36" s="27"/>
    </row>
    <row r="37" customFormat="false" ht="12.75" hidden="false" customHeight="false" outlineLevel="0" collapsed="false">
      <c r="A37" s="50" t="n">
        <v>37165</v>
      </c>
      <c r="B37" s="31" t="n">
        <f aca="false">+C37-C36</f>
        <v>1627317</v>
      </c>
      <c r="C37" s="31" t="n">
        <v>14951719</v>
      </c>
      <c r="D37" s="26"/>
      <c r="E37" s="64" t="n">
        <v>-4647960</v>
      </c>
      <c r="F37" s="26" t="n">
        <f aca="false">+D37-E37</f>
        <v>4647960</v>
      </c>
      <c r="G37" s="28"/>
      <c r="H37" s="27" t="n">
        <f aca="false">+F37/B37</f>
        <v>2.85621056008141</v>
      </c>
      <c r="I37" s="26"/>
      <c r="J37" s="26"/>
      <c r="K37" s="26"/>
      <c r="L37" s="3"/>
      <c r="M37" s="50" t="n">
        <v>37165</v>
      </c>
      <c r="N37" s="0" t="n">
        <v>0</v>
      </c>
      <c r="O37" s="45" t="n">
        <f aca="false">+O36+N37</f>
        <v>0</v>
      </c>
      <c r="P37" s="26" t="n">
        <v>0</v>
      </c>
      <c r="Q37" s="64" t="n">
        <v>0</v>
      </c>
      <c r="R37" s="26" t="n">
        <f aca="false">+P37-Q37</f>
        <v>0</v>
      </c>
      <c r="S37" s="27" t="n">
        <f aca="false">IF(R37&lt;&gt;0,+R37/N37,0)</f>
        <v>0</v>
      </c>
      <c r="U37" s="50" t="n">
        <v>37165</v>
      </c>
      <c r="V37" s="63" t="n">
        <f aca="false">+B37+N37</f>
        <v>1627317</v>
      </c>
      <c r="W37" s="63" t="n">
        <f aca="false">+W36+V37</f>
        <v>14951719</v>
      </c>
      <c r="X37" s="26" t="n">
        <f aca="false">+D37+P37</f>
        <v>0</v>
      </c>
      <c r="Y37" s="26" t="n">
        <f aca="false">+E37+Q37</f>
        <v>-4647960</v>
      </c>
      <c r="Z37" s="26" t="n">
        <f aca="false">+F37+R37</f>
        <v>4647960</v>
      </c>
      <c r="AA37" s="27" t="n">
        <f aca="false">IF(Z37&lt;&gt;0,+Z37/V37,0)</f>
        <v>2.85621056008141</v>
      </c>
      <c r="AB37" s="27"/>
    </row>
    <row r="38" customFormat="false" ht="12.75" hidden="false" customHeight="false" outlineLevel="0" collapsed="false">
      <c r="A38" s="50" t="n">
        <v>37196</v>
      </c>
      <c r="B38" s="44" t="n">
        <f aca="false">+C38-C37</f>
        <v>-2564363</v>
      </c>
      <c r="C38" s="31" t="n">
        <v>12387356</v>
      </c>
      <c r="D38" s="26"/>
      <c r="E38" s="64" t="n">
        <v>5425585</v>
      </c>
      <c r="F38" s="26" t="n">
        <f aca="false">+D38-E38</f>
        <v>-5425585</v>
      </c>
      <c r="G38" s="28"/>
      <c r="H38" s="27" t="n">
        <f aca="false">+F38/B38</f>
        <v>2.1157632519265</v>
      </c>
      <c r="I38" s="26"/>
      <c r="J38" s="26"/>
      <c r="K38" s="26"/>
      <c r="L38" s="26"/>
      <c r="M38" s="50" t="n">
        <v>37196</v>
      </c>
      <c r="N38" s="45" t="n">
        <v>2750000</v>
      </c>
      <c r="O38" s="45" t="n">
        <f aca="false">+O37+N38</f>
        <v>2750000</v>
      </c>
      <c r="P38" s="26"/>
      <c r="Q38" s="64" t="n">
        <v>-7435588</v>
      </c>
      <c r="R38" s="26" t="n">
        <f aca="false">+P38-Q38</f>
        <v>7435588</v>
      </c>
      <c r="S38" s="27" t="n">
        <f aca="false">IF(R38&lt;&gt;0,+R38/N38,0)</f>
        <v>2.70385018181818</v>
      </c>
      <c r="T38" s="28"/>
      <c r="U38" s="50" t="n">
        <v>37196</v>
      </c>
      <c r="V38" s="63" t="n">
        <f aca="false">+B38+N38</f>
        <v>185637</v>
      </c>
      <c r="W38" s="63" t="n">
        <f aca="false">+W37+V38</f>
        <v>15137356</v>
      </c>
      <c r="X38" s="26" t="n">
        <f aca="false">+D38+P38</f>
        <v>0</v>
      </c>
      <c r="Y38" s="26" t="n">
        <f aca="false">+E38+Q38</f>
        <v>-2010003</v>
      </c>
      <c r="Z38" s="26" t="n">
        <f aca="false">+F38+R38</f>
        <v>2010003</v>
      </c>
      <c r="AA38" s="27" t="n">
        <f aca="false">IF(Z38&lt;&gt;0,+Z38/V38,0)</f>
        <v>10.8275990239015</v>
      </c>
      <c r="AB38" s="27"/>
    </row>
    <row r="39" customFormat="false" ht="12.75" hidden="false" customHeight="false" outlineLevel="0" collapsed="false">
      <c r="A39" s="50" t="n">
        <v>37226</v>
      </c>
      <c r="B39" s="44" t="n">
        <f aca="false">+C39-C38</f>
        <v>-4920003</v>
      </c>
      <c r="C39" s="31" t="n">
        <v>7467353</v>
      </c>
      <c r="D39" s="26"/>
      <c r="E39" s="64" t="n">
        <v>15772292</v>
      </c>
      <c r="F39" s="26" t="n">
        <f aca="false">+D39-E39</f>
        <v>-15772292</v>
      </c>
      <c r="G39" s="28"/>
      <c r="H39" s="27" t="n">
        <f aca="false">+F39/B39</f>
        <v>3.2057484517794</v>
      </c>
      <c r="I39" s="26"/>
      <c r="J39" s="26"/>
      <c r="K39" s="26"/>
      <c r="L39" s="26"/>
      <c r="M39" s="50" t="n">
        <v>37226</v>
      </c>
      <c r="N39" s="45" t="n">
        <f aca="false">1000000+1000000</f>
        <v>2000000</v>
      </c>
      <c r="O39" s="45" t="n">
        <f aca="false">+O38+N39</f>
        <v>4750000</v>
      </c>
      <c r="P39" s="26"/>
      <c r="Q39" s="64" t="n">
        <v>-5499760</v>
      </c>
      <c r="R39" s="26" t="n">
        <f aca="false">+P39-Q39</f>
        <v>5499760</v>
      </c>
      <c r="S39" s="27" t="n">
        <f aca="false">IF(R39&lt;&gt;0,+R39/N39,0)</f>
        <v>2.74988</v>
      </c>
      <c r="T39" s="28"/>
      <c r="U39" s="50" t="n">
        <v>37226</v>
      </c>
      <c r="V39" s="63" t="n">
        <f aca="false">+B39+N39</f>
        <v>-2920003</v>
      </c>
      <c r="W39" s="63" t="n">
        <f aca="false">+W38+V39</f>
        <v>12217353</v>
      </c>
      <c r="X39" s="26" t="n">
        <f aca="false">+D39+P39</f>
        <v>0</v>
      </c>
      <c r="Y39" s="26" t="n">
        <f aca="false">+E39+Q39</f>
        <v>10272532</v>
      </c>
      <c r="Z39" s="26" t="n">
        <f aca="false">+F39+R39</f>
        <v>-10272532</v>
      </c>
      <c r="AA39" s="27" t="n">
        <f aca="false">IF(Z39&lt;&gt;0,+Z39/V39,0)</f>
        <v>3.51798679658891</v>
      </c>
      <c r="AB39" s="27"/>
    </row>
    <row r="40" customFormat="false" ht="12.75" hidden="false" customHeight="false" outlineLevel="0" collapsed="false">
      <c r="A40" s="50" t="n">
        <v>37257</v>
      </c>
      <c r="B40" s="44" t="n">
        <f aca="false">+C40-C39</f>
        <v>-2162337</v>
      </c>
      <c r="C40" s="31" t="n">
        <v>5305016</v>
      </c>
      <c r="D40" s="26"/>
      <c r="E40" s="64" t="n">
        <v>8163877</v>
      </c>
      <c r="F40" s="26" t="n">
        <f aca="false">+D40-E40</f>
        <v>-8163877</v>
      </c>
      <c r="G40" s="28"/>
      <c r="H40" s="27" t="n">
        <f aca="false">+F40/B40</f>
        <v>3.77548781711639</v>
      </c>
      <c r="I40" s="26"/>
      <c r="J40" s="26"/>
      <c r="K40" s="26"/>
      <c r="L40" s="26"/>
      <c r="M40" s="50" t="n">
        <v>37257</v>
      </c>
      <c r="N40" s="45"/>
      <c r="O40" s="45" t="n">
        <f aca="false">+O39+N40</f>
        <v>4750000</v>
      </c>
      <c r="P40" s="26"/>
      <c r="Q40" s="64"/>
      <c r="R40" s="26" t="n">
        <f aca="false">+P40-Q40</f>
        <v>0</v>
      </c>
      <c r="S40" s="27" t="n">
        <f aca="false">IF(R40&lt;&gt;0,+R40/N40,0)</f>
        <v>0</v>
      </c>
      <c r="T40" s="28"/>
      <c r="U40" s="50" t="n">
        <v>37257</v>
      </c>
      <c r="V40" s="63" t="n">
        <f aca="false">+B40+N40</f>
        <v>-2162337</v>
      </c>
      <c r="W40" s="63" t="n">
        <f aca="false">+W39+V40</f>
        <v>10055016</v>
      </c>
      <c r="X40" s="26" t="n">
        <f aca="false">+D40+P40</f>
        <v>0</v>
      </c>
      <c r="Y40" s="26" t="n">
        <f aca="false">+E40+Q40</f>
        <v>8163877</v>
      </c>
      <c r="Z40" s="26" t="n">
        <f aca="false">+F40+R40</f>
        <v>-8163877</v>
      </c>
      <c r="AA40" s="27" t="n">
        <f aca="false">IF(Z40&lt;&gt;0,+Z40/V40,0)</f>
        <v>3.77548781711639</v>
      </c>
      <c r="AB40" s="27"/>
    </row>
    <row r="41" customFormat="false" ht="12.75" hidden="false" customHeight="false" outlineLevel="0" collapsed="false">
      <c r="A41" s="50" t="n">
        <v>37288</v>
      </c>
      <c r="B41" s="44" t="n">
        <f aca="false">+C41-C40</f>
        <v>-2002604</v>
      </c>
      <c r="C41" s="31" t="n">
        <v>3302412</v>
      </c>
      <c r="D41" s="26"/>
      <c r="E41" s="64" t="n">
        <v>12600962</v>
      </c>
      <c r="F41" s="26" t="n">
        <f aca="false">+D41-E41</f>
        <v>-12600962</v>
      </c>
      <c r="G41" s="28"/>
      <c r="H41" s="27" t="n">
        <f aca="false">+F41/B41</f>
        <v>6.29228844045053</v>
      </c>
      <c r="I41" s="26"/>
      <c r="J41" s="26"/>
      <c r="K41" s="26"/>
      <c r="L41" s="26"/>
      <c r="M41" s="50" t="n">
        <v>37288</v>
      </c>
      <c r="N41" s="45"/>
      <c r="O41" s="45" t="n">
        <f aca="false">+O40+N41</f>
        <v>4750000</v>
      </c>
      <c r="P41" s="26"/>
      <c r="Q41" s="64"/>
      <c r="R41" s="26" t="n">
        <f aca="false">+P41-Q41</f>
        <v>0</v>
      </c>
      <c r="S41" s="27" t="n">
        <f aca="false">IF(R41&lt;&gt;0,+R41/N41,0)</f>
        <v>0</v>
      </c>
      <c r="T41" s="28"/>
      <c r="U41" s="50" t="n">
        <v>37288</v>
      </c>
      <c r="V41" s="63" t="n">
        <f aca="false">+B41+N41</f>
        <v>-2002604</v>
      </c>
      <c r="W41" s="63" t="n">
        <f aca="false">+W40+V41</f>
        <v>8052412</v>
      </c>
      <c r="X41" s="26" t="n">
        <f aca="false">+D41+P41</f>
        <v>0</v>
      </c>
      <c r="Y41" s="26" t="n">
        <f aca="false">+E41+Q41</f>
        <v>12600962</v>
      </c>
      <c r="Z41" s="26" t="n">
        <f aca="false">+F41+R41</f>
        <v>-12600962</v>
      </c>
      <c r="AA41" s="27" t="n">
        <f aca="false">IF(Z41&lt;&gt;0,+Z41/V41,0)</f>
        <v>6.29228844045053</v>
      </c>
      <c r="AB41" s="27"/>
    </row>
    <row r="42" customFormat="false" ht="12.75" hidden="false" customHeight="false" outlineLevel="0" collapsed="false">
      <c r="A42" s="50" t="n">
        <v>37316</v>
      </c>
      <c r="B42" s="44" t="n">
        <f aca="false">+C42-C41</f>
        <v>-3302412</v>
      </c>
      <c r="C42" s="31" t="n">
        <v>0</v>
      </c>
      <c r="D42" s="26"/>
      <c r="E42" s="64" t="n">
        <v>18483449</v>
      </c>
      <c r="F42" s="26" t="n">
        <f aca="false">+D42-E42</f>
        <v>-18483449</v>
      </c>
      <c r="G42" s="28"/>
      <c r="H42" s="27" t="n">
        <f aca="false">+F42/B42</f>
        <v>5.59695428674557</v>
      </c>
      <c r="I42" s="26"/>
      <c r="J42" s="26"/>
      <c r="K42" s="26"/>
      <c r="L42" s="26"/>
      <c r="M42" s="50" t="n">
        <v>37316</v>
      </c>
      <c r="N42" s="45"/>
      <c r="O42" s="45" t="n">
        <f aca="false">+O41+N42</f>
        <v>4750000</v>
      </c>
      <c r="P42" s="26"/>
      <c r="Q42" s="64"/>
      <c r="R42" s="26" t="n">
        <f aca="false">+P42-Q42</f>
        <v>0</v>
      </c>
      <c r="S42" s="27" t="n">
        <f aca="false">IF(R42&lt;&gt;0,+R42/N42,0)</f>
        <v>0</v>
      </c>
      <c r="T42" s="28"/>
      <c r="U42" s="50" t="n">
        <v>37316</v>
      </c>
      <c r="V42" s="63" t="n">
        <f aca="false">+B42+N42</f>
        <v>-3302412</v>
      </c>
      <c r="W42" s="63" t="n">
        <f aca="false">+W41+V42</f>
        <v>4750000</v>
      </c>
      <c r="X42" s="26" t="n">
        <f aca="false">+D42+P42</f>
        <v>0</v>
      </c>
      <c r="Y42" s="26" t="n">
        <f aca="false">+E42+Q42</f>
        <v>18483449</v>
      </c>
      <c r="Z42" s="26" t="n">
        <f aca="false">+F42+R42</f>
        <v>-18483449</v>
      </c>
      <c r="AA42" s="27" t="n">
        <f aca="false">IF(Z42&lt;&gt;0,+Z42/V42,0)</f>
        <v>5.59695428674557</v>
      </c>
      <c r="AB42" s="27"/>
    </row>
    <row r="43" customFormat="false" ht="12.75" hidden="false" customHeight="false" outlineLevel="0" collapsed="false">
      <c r="A43" s="50" t="n">
        <v>37347</v>
      </c>
      <c r="B43" s="44" t="n">
        <v>0</v>
      </c>
      <c r="C43" s="31" t="n">
        <v>0</v>
      </c>
      <c r="D43" s="26"/>
      <c r="E43" s="26"/>
      <c r="F43" s="26"/>
      <c r="G43" s="28"/>
      <c r="H43" s="27"/>
      <c r="I43" s="28"/>
      <c r="J43" s="26"/>
      <c r="K43" s="26"/>
      <c r="L43" s="26"/>
      <c r="M43" s="50" t="n">
        <v>37347</v>
      </c>
      <c r="N43" s="45" t="n">
        <v>2000000</v>
      </c>
      <c r="O43" s="45" t="n">
        <f aca="false">+O42+N43</f>
        <v>6750000</v>
      </c>
      <c r="P43" s="26"/>
      <c r="Q43" s="64" t="n">
        <v>-6599748</v>
      </c>
      <c r="R43" s="26" t="n">
        <f aca="false">+P43-Q43</f>
        <v>6599748</v>
      </c>
      <c r="S43" s="27" t="n">
        <f aca="false">IF(R43&lt;&gt;0,+R43/N43,0)</f>
        <v>3.299874</v>
      </c>
      <c r="T43" s="28"/>
      <c r="U43" s="50" t="n">
        <v>37347</v>
      </c>
      <c r="V43" s="63" t="n">
        <f aca="false">+B43+N43</f>
        <v>2000000</v>
      </c>
      <c r="W43" s="63" t="n">
        <f aca="false">+W42+V43</f>
        <v>6750000</v>
      </c>
      <c r="X43" s="26" t="n">
        <f aca="false">+D43+P43</f>
        <v>0</v>
      </c>
      <c r="Y43" s="26" t="n">
        <f aca="false">+E43+Q43</f>
        <v>-6599748</v>
      </c>
      <c r="Z43" s="26" t="n">
        <f aca="false">+F43+R43</f>
        <v>6599748</v>
      </c>
      <c r="AA43" s="27" t="n">
        <f aca="false">IF(Z43&lt;&gt;0,+Z43/V43,0)</f>
        <v>3.299874</v>
      </c>
      <c r="AB43" s="27"/>
    </row>
    <row r="44" customFormat="false" ht="12.75" hidden="false" customHeight="false" outlineLevel="0" collapsed="false">
      <c r="A44" s="50" t="n">
        <v>37377</v>
      </c>
      <c r="B44" s="44" t="n">
        <v>0</v>
      </c>
      <c r="C44" s="31" t="n">
        <v>0</v>
      </c>
      <c r="D44" s="26"/>
      <c r="E44" s="26"/>
      <c r="F44" s="26"/>
      <c r="G44" s="28"/>
      <c r="H44" s="27"/>
      <c r="I44" s="65"/>
      <c r="J44" s="65"/>
      <c r="K44" s="65"/>
      <c r="L44" s="26"/>
      <c r="M44" s="50" t="n">
        <v>37377</v>
      </c>
      <c r="N44" s="45" t="n">
        <v>2000000</v>
      </c>
      <c r="O44" s="45" t="n">
        <f aca="false">+O43+N44</f>
        <v>8750000</v>
      </c>
      <c r="P44" s="65"/>
      <c r="Q44" s="64" t="n">
        <v>-6601308</v>
      </c>
      <c r="R44" s="26" t="n">
        <f aca="false">+P44-Q44</f>
        <v>6601308</v>
      </c>
      <c r="S44" s="27" t="n">
        <f aca="false">IF(R44&lt;&gt;0,+R44/N44,0)</f>
        <v>3.300654</v>
      </c>
      <c r="T44" s="28"/>
      <c r="U44" s="50" t="n">
        <v>37377</v>
      </c>
      <c r="V44" s="63" t="n">
        <f aca="false">+B44+N44</f>
        <v>2000000</v>
      </c>
      <c r="W44" s="63" t="n">
        <f aca="false">+W43+V44</f>
        <v>8750000</v>
      </c>
      <c r="X44" s="26" t="n">
        <f aca="false">+D44+P44</f>
        <v>0</v>
      </c>
      <c r="Y44" s="26" t="n">
        <f aca="false">+E44+Q44</f>
        <v>-6601308</v>
      </c>
      <c r="Z44" s="26" t="n">
        <f aca="false">+F44+R44</f>
        <v>6601308</v>
      </c>
      <c r="AA44" s="27" t="n">
        <f aca="false">IF(Z44&lt;&gt;0,+Z44/V44,0)</f>
        <v>3.300654</v>
      </c>
      <c r="AB44" s="65"/>
    </row>
    <row r="45" customFormat="false" ht="12.75" hidden="false" customHeight="false" outlineLevel="0" collapsed="false">
      <c r="A45" s="50" t="n">
        <v>37408</v>
      </c>
      <c r="B45" s="44" t="n">
        <v>0</v>
      </c>
      <c r="C45" s="31" t="n">
        <v>0</v>
      </c>
      <c r="D45" s="26"/>
      <c r="E45" s="26"/>
      <c r="F45" s="26"/>
      <c r="G45" s="28"/>
      <c r="H45" s="27"/>
      <c r="I45" s="65"/>
      <c r="J45" s="65"/>
      <c r="K45" s="65"/>
      <c r="L45" s="26"/>
      <c r="M45" s="50" t="n">
        <v>37408</v>
      </c>
      <c r="N45" s="66" t="n">
        <v>1000000</v>
      </c>
      <c r="O45" s="45" t="n">
        <f aca="false">+O44+N45</f>
        <v>9750000</v>
      </c>
      <c r="P45" s="65"/>
      <c r="Q45" s="64" t="n">
        <v>-2728724</v>
      </c>
      <c r="R45" s="26" t="n">
        <f aca="false">+P45-Q45</f>
        <v>2728724</v>
      </c>
      <c r="S45" s="27" t="n">
        <f aca="false">IF(R45&lt;&gt;0,+R45/N45,0)</f>
        <v>2.728724</v>
      </c>
      <c r="T45" s="28"/>
      <c r="U45" s="50" t="n">
        <v>37408</v>
      </c>
      <c r="V45" s="63" t="n">
        <f aca="false">+B45+N45</f>
        <v>1000000</v>
      </c>
      <c r="W45" s="63" t="n">
        <f aca="false">+W44+V45</f>
        <v>9750000</v>
      </c>
      <c r="X45" s="26" t="n">
        <f aca="false">+D45+P45</f>
        <v>0</v>
      </c>
      <c r="Y45" s="26" t="n">
        <f aca="false">+E45+Q45</f>
        <v>-2728724</v>
      </c>
      <c r="Z45" s="26" t="n">
        <f aca="false">+F45+R45</f>
        <v>2728724</v>
      </c>
      <c r="AA45" s="27" t="n">
        <f aca="false">IF(Z45&lt;&gt;0,+Z45/V45,0)</f>
        <v>2.728724</v>
      </c>
      <c r="AB45" s="65"/>
    </row>
    <row r="46" customFormat="false" ht="12.75" hidden="false" customHeight="false" outlineLevel="0" collapsed="false">
      <c r="A46" s="50" t="n">
        <v>37438</v>
      </c>
      <c r="B46" s="44" t="n">
        <v>0</v>
      </c>
      <c r="C46" s="31" t="n">
        <v>0</v>
      </c>
      <c r="D46" s="26"/>
      <c r="E46" s="26"/>
      <c r="F46" s="26"/>
      <c r="G46" s="28"/>
      <c r="H46" s="27"/>
      <c r="I46" s="67"/>
      <c r="J46" s="67"/>
      <c r="K46" s="67"/>
      <c r="L46" s="26"/>
      <c r="M46" s="50" t="n">
        <v>37438</v>
      </c>
      <c r="N46" s="66"/>
      <c r="O46" s="45" t="n">
        <f aca="false">+O45+N46</f>
        <v>9750000</v>
      </c>
      <c r="P46" s="67"/>
      <c r="Q46" s="64"/>
      <c r="R46" s="26" t="n">
        <f aca="false">+P46-Q46</f>
        <v>0</v>
      </c>
      <c r="S46" s="27" t="n">
        <f aca="false">IF(R46&lt;&gt;0,+R46/N46,0)</f>
        <v>0</v>
      </c>
      <c r="T46" s="28"/>
      <c r="U46" s="50" t="n">
        <v>37438</v>
      </c>
      <c r="V46" s="63" t="n">
        <f aca="false">+B46+N46</f>
        <v>0</v>
      </c>
      <c r="W46" s="63" t="n">
        <f aca="false">+W45+V46</f>
        <v>9750000</v>
      </c>
      <c r="X46" s="26" t="n">
        <f aca="false">+D46+P46</f>
        <v>0</v>
      </c>
      <c r="Y46" s="26" t="n">
        <f aca="false">+E46+Q46</f>
        <v>0</v>
      </c>
      <c r="Z46" s="26" t="n">
        <f aca="false">+F46+R46</f>
        <v>0</v>
      </c>
      <c r="AA46" s="27" t="n">
        <f aca="false">IF(Z46&lt;&gt;0,+Z46/V46,0)</f>
        <v>0</v>
      </c>
      <c r="AB46" s="67"/>
    </row>
    <row r="47" customFormat="false" ht="12.75" hidden="false" customHeight="false" outlineLevel="0" collapsed="false">
      <c r="A47" s="50" t="n">
        <v>37469</v>
      </c>
      <c r="B47" s="44" t="n">
        <v>0</v>
      </c>
      <c r="C47" s="31" t="n">
        <v>0</v>
      </c>
      <c r="D47" s="26"/>
      <c r="E47" s="26"/>
      <c r="F47" s="26"/>
      <c r="G47" s="28"/>
      <c r="H47" s="27"/>
      <c r="I47" s="67"/>
      <c r="J47" s="67"/>
      <c r="K47" s="67"/>
      <c r="L47" s="26"/>
      <c r="M47" s="50" t="n">
        <v>37469</v>
      </c>
      <c r="N47" s="66"/>
      <c r="O47" s="45" t="n">
        <f aca="false">+O46+N47</f>
        <v>9750000</v>
      </c>
      <c r="P47" s="67"/>
      <c r="Q47" s="64"/>
      <c r="R47" s="26" t="n">
        <f aca="false">+P47-Q47</f>
        <v>0</v>
      </c>
      <c r="S47" s="27" t="n">
        <f aca="false">IF(R47&lt;&gt;0,+R47/N47,0)</f>
        <v>0</v>
      </c>
      <c r="T47" s="28"/>
      <c r="U47" s="50" t="n">
        <v>37469</v>
      </c>
      <c r="V47" s="63" t="n">
        <f aca="false">+B47+N47</f>
        <v>0</v>
      </c>
      <c r="W47" s="63" t="n">
        <f aca="false">+W46+V47</f>
        <v>9750000</v>
      </c>
      <c r="X47" s="26" t="n">
        <f aca="false">+D47+P47</f>
        <v>0</v>
      </c>
      <c r="Y47" s="26" t="n">
        <f aca="false">+E47+Q47</f>
        <v>0</v>
      </c>
      <c r="Z47" s="26" t="n">
        <f aca="false">+F47+R47</f>
        <v>0</v>
      </c>
      <c r="AA47" s="27" t="n">
        <f aca="false">IF(Z47&lt;&gt;0,+Z47/V47,0)</f>
        <v>0</v>
      </c>
      <c r="AB47" s="67"/>
    </row>
    <row r="48" customFormat="false" ht="12.75" hidden="false" customHeight="false" outlineLevel="0" collapsed="false">
      <c r="A48" s="50" t="n">
        <v>37500</v>
      </c>
      <c r="B48" s="44" t="n">
        <v>0</v>
      </c>
      <c r="C48" s="31" t="n">
        <v>0</v>
      </c>
      <c r="D48" s="26"/>
      <c r="E48" s="26"/>
      <c r="F48" s="26"/>
      <c r="G48" s="28"/>
      <c r="H48" s="27"/>
      <c r="I48" s="67"/>
      <c r="J48" s="68"/>
      <c r="K48" s="67"/>
      <c r="L48" s="26"/>
      <c r="M48" s="50" t="n">
        <v>37500</v>
      </c>
      <c r="N48" s="66" t="n">
        <v>-1000000</v>
      </c>
      <c r="O48" s="45" t="n">
        <f aca="false">+O47+N48</f>
        <v>8750000</v>
      </c>
      <c r="P48" s="67"/>
      <c r="Q48" s="64" t="n">
        <v>2994212</v>
      </c>
      <c r="R48" s="26" t="n">
        <f aca="false">+P48-Q48</f>
        <v>-2994212</v>
      </c>
      <c r="S48" s="27" t="n">
        <f aca="false">IF(R48&lt;&gt;0,+R48/N48,0)</f>
        <v>2.994212</v>
      </c>
      <c r="T48" s="28"/>
      <c r="U48" s="50" t="n">
        <v>37500</v>
      </c>
      <c r="V48" s="63" t="n">
        <f aca="false">+B48+N48</f>
        <v>-1000000</v>
      </c>
      <c r="W48" s="63" t="n">
        <f aca="false">+W47+V48</f>
        <v>8750000</v>
      </c>
      <c r="X48" s="26" t="n">
        <f aca="false">+D48+P48</f>
        <v>0</v>
      </c>
      <c r="Y48" s="26" t="n">
        <f aca="false">+E48+Q48</f>
        <v>2994212</v>
      </c>
      <c r="Z48" s="26" t="n">
        <f aca="false">+F48+R48</f>
        <v>-2994212</v>
      </c>
      <c r="AA48" s="27" t="n">
        <f aca="false">IF(Z48&lt;&gt;0,+Z48/V48,0)</f>
        <v>2.994212</v>
      </c>
      <c r="AB48" s="67"/>
    </row>
    <row r="49" customFormat="false" ht="12.75" hidden="false" customHeight="false" outlineLevel="0" collapsed="false">
      <c r="A49" s="50" t="n">
        <v>37530</v>
      </c>
      <c r="B49" s="44" t="n">
        <v>0</v>
      </c>
      <c r="C49" s="31" t="n">
        <v>0</v>
      </c>
      <c r="D49" s="26"/>
      <c r="E49" s="26"/>
      <c r="F49" s="26"/>
      <c r="G49" s="28"/>
      <c r="H49" s="27"/>
      <c r="I49" s="67"/>
      <c r="J49" s="68"/>
      <c r="K49" s="67"/>
      <c r="L49" s="26"/>
      <c r="M49" s="50" t="n">
        <v>37530</v>
      </c>
      <c r="N49" s="66" t="n">
        <v>-2750000</v>
      </c>
      <c r="O49" s="45" t="n">
        <f aca="false">+O48+N49</f>
        <v>6000000</v>
      </c>
      <c r="P49" s="67"/>
      <c r="Q49" s="64" t="n">
        <v>8452256</v>
      </c>
      <c r="R49" s="26" t="n">
        <f aca="false">+P49-Q49</f>
        <v>-8452256</v>
      </c>
      <c r="S49" s="27" t="n">
        <f aca="false">IF(R49&lt;&gt;0,+R49/N49,0)</f>
        <v>3.07354763636364</v>
      </c>
      <c r="T49" s="28"/>
      <c r="U49" s="50" t="n">
        <v>37530</v>
      </c>
      <c r="V49" s="63" t="n">
        <f aca="false">+B49+N49</f>
        <v>-2750000</v>
      </c>
      <c r="W49" s="63" t="n">
        <f aca="false">+W48+V49</f>
        <v>6000000</v>
      </c>
      <c r="X49" s="26" t="n">
        <f aca="false">+D49+P49</f>
        <v>0</v>
      </c>
      <c r="Y49" s="26" t="n">
        <f aca="false">+E49+Q49</f>
        <v>8452256</v>
      </c>
      <c r="Z49" s="26" t="n">
        <f aca="false">+F49+R49</f>
        <v>-8452256</v>
      </c>
      <c r="AA49" s="27" t="n">
        <f aca="false">IF(Z49&lt;&gt;0,+Z49/V49,0)</f>
        <v>3.07354763636364</v>
      </c>
      <c r="AB49" s="67"/>
    </row>
    <row r="50" customFormat="false" ht="12.75" hidden="false" customHeight="false" outlineLevel="0" collapsed="false">
      <c r="A50" s="50" t="n">
        <v>37561</v>
      </c>
      <c r="B50" s="44" t="n">
        <v>0</v>
      </c>
      <c r="C50" s="31" t="n">
        <v>0</v>
      </c>
      <c r="D50" s="26"/>
      <c r="E50" s="26"/>
      <c r="F50" s="26"/>
      <c r="G50" s="28"/>
      <c r="H50" s="27"/>
      <c r="I50" s="67"/>
      <c r="J50" s="68"/>
      <c r="K50" s="67"/>
      <c r="L50" s="26"/>
      <c r="M50" s="50" t="n">
        <v>37561</v>
      </c>
      <c r="N50" s="66"/>
      <c r="O50" s="45" t="n">
        <f aca="false">+O49+N50</f>
        <v>6000000</v>
      </c>
      <c r="P50" s="67"/>
      <c r="Q50" s="64"/>
      <c r="R50" s="26" t="n">
        <f aca="false">+P50-Q50</f>
        <v>0</v>
      </c>
      <c r="S50" s="27" t="n">
        <f aca="false">IF(R50&lt;&gt;0,+R50/N50,0)</f>
        <v>0</v>
      </c>
      <c r="T50" s="28"/>
      <c r="U50" s="50" t="n">
        <v>37561</v>
      </c>
      <c r="V50" s="63" t="n">
        <f aca="false">+B50+N50</f>
        <v>0</v>
      </c>
      <c r="W50" s="63" t="n">
        <f aca="false">+W49+V50</f>
        <v>6000000</v>
      </c>
      <c r="X50" s="26" t="n">
        <f aca="false">+D50+P50</f>
        <v>0</v>
      </c>
      <c r="Y50" s="26" t="n">
        <f aca="false">+E50+Q50</f>
        <v>0</v>
      </c>
      <c r="Z50" s="26" t="n">
        <f aca="false">+F50+R50</f>
        <v>0</v>
      </c>
      <c r="AA50" s="27" t="n">
        <f aca="false">IF(Z50&lt;&gt;0,+Z50/V50,0)</f>
        <v>0</v>
      </c>
      <c r="AB50" s="67"/>
    </row>
    <row r="51" customFormat="false" ht="12.75" hidden="false" customHeight="false" outlineLevel="0" collapsed="false">
      <c r="A51" s="50" t="n">
        <v>37591</v>
      </c>
      <c r="B51" s="44" t="n">
        <v>0</v>
      </c>
      <c r="C51" s="31" t="n">
        <v>0</v>
      </c>
      <c r="D51" s="26"/>
      <c r="E51" s="26"/>
      <c r="F51" s="26"/>
      <c r="G51" s="28"/>
      <c r="H51" s="27"/>
      <c r="I51" s="67"/>
      <c r="J51" s="68"/>
      <c r="K51" s="67"/>
      <c r="L51" s="26"/>
      <c r="M51" s="50" t="n">
        <v>37591</v>
      </c>
      <c r="N51" s="66"/>
      <c r="O51" s="45" t="n">
        <f aca="false">+O50+N51</f>
        <v>6000000</v>
      </c>
      <c r="P51" s="67"/>
      <c r="Q51" s="64"/>
      <c r="R51" s="26" t="n">
        <f aca="false">+P51-Q51</f>
        <v>0</v>
      </c>
      <c r="S51" s="27" t="n">
        <f aca="false">IF(R51&lt;&gt;0,+R51/N51,0)</f>
        <v>0</v>
      </c>
      <c r="T51" s="28"/>
      <c r="U51" s="50" t="n">
        <v>37591</v>
      </c>
      <c r="V51" s="63" t="n">
        <f aca="false">+B51+N51</f>
        <v>0</v>
      </c>
      <c r="W51" s="63" t="n">
        <f aca="false">+W50+V51</f>
        <v>6000000</v>
      </c>
      <c r="X51" s="26" t="n">
        <f aca="false">+D51+P51</f>
        <v>0</v>
      </c>
      <c r="Y51" s="26" t="n">
        <f aca="false">+E51+Q51</f>
        <v>0</v>
      </c>
      <c r="Z51" s="26" t="n">
        <f aca="false">+F51+R51</f>
        <v>0</v>
      </c>
      <c r="AA51" s="27" t="n">
        <f aca="false">IF(Z51&lt;&gt;0,+Z51/V51,0)</f>
        <v>0</v>
      </c>
      <c r="AB51" s="67"/>
    </row>
    <row r="52" customFormat="false" ht="12.75" hidden="false" customHeight="false" outlineLevel="0" collapsed="false">
      <c r="A52" s="50" t="n">
        <v>37622</v>
      </c>
      <c r="B52" s="44" t="n">
        <v>0</v>
      </c>
      <c r="C52" s="31" t="n">
        <v>0</v>
      </c>
      <c r="D52" s="26"/>
      <c r="E52" s="26"/>
      <c r="F52" s="26"/>
      <c r="G52" s="28"/>
      <c r="H52" s="27"/>
      <c r="I52" s="67"/>
      <c r="J52" s="68"/>
      <c r="K52" s="67"/>
      <c r="L52" s="26"/>
      <c r="M52" s="50" t="n">
        <v>37622</v>
      </c>
      <c r="N52" s="66"/>
      <c r="O52" s="45" t="n">
        <f aca="false">+O51+N52</f>
        <v>6000000</v>
      </c>
      <c r="P52" s="67"/>
      <c r="Q52" s="64"/>
      <c r="R52" s="26" t="n">
        <f aca="false">+P52-Q52</f>
        <v>0</v>
      </c>
      <c r="S52" s="27" t="n">
        <f aca="false">IF(R52&lt;&gt;0,+R52/N52,0)</f>
        <v>0</v>
      </c>
      <c r="T52" s="28"/>
      <c r="U52" s="50" t="n">
        <v>37622</v>
      </c>
      <c r="V52" s="63" t="n">
        <f aca="false">+B52+N52</f>
        <v>0</v>
      </c>
      <c r="W52" s="63" t="n">
        <f aca="false">+W51+V52</f>
        <v>6000000</v>
      </c>
      <c r="X52" s="26" t="n">
        <f aca="false">+D52+P52</f>
        <v>0</v>
      </c>
      <c r="Y52" s="26" t="n">
        <f aca="false">+E52+Q52</f>
        <v>0</v>
      </c>
      <c r="Z52" s="26" t="n">
        <f aca="false">+F52+R52</f>
        <v>0</v>
      </c>
      <c r="AA52" s="27" t="n">
        <f aca="false">IF(Z52&lt;&gt;0,+Z52/V52,0)</f>
        <v>0</v>
      </c>
      <c r="AB52" s="67"/>
    </row>
    <row r="53" customFormat="false" ht="12.75" hidden="false" customHeight="false" outlineLevel="0" collapsed="false">
      <c r="A53" s="50" t="n">
        <v>37653</v>
      </c>
      <c r="B53" s="44" t="n">
        <v>0</v>
      </c>
      <c r="C53" s="31" t="n">
        <v>0</v>
      </c>
      <c r="D53" s="26"/>
      <c r="E53" s="26"/>
      <c r="F53" s="26"/>
      <c r="G53" s="28"/>
      <c r="H53" s="27"/>
      <c r="I53" s="65"/>
      <c r="J53" s="69"/>
      <c r="K53" s="67"/>
      <c r="L53" s="26"/>
      <c r="M53" s="50" t="n">
        <v>37653</v>
      </c>
      <c r="N53" s="66"/>
      <c r="O53" s="45" t="n">
        <f aca="false">+O52+N53</f>
        <v>6000000</v>
      </c>
      <c r="P53" s="65"/>
      <c r="Q53" s="64"/>
      <c r="R53" s="26" t="n">
        <f aca="false">+P53-Q53</f>
        <v>0</v>
      </c>
      <c r="S53" s="27" t="n">
        <f aca="false">IF(R53&lt;&gt;0,+R53/N53,0)</f>
        <v>0</v>
      </c>
      <c r="T53" s="28"/>
      <c r="U53" s="50" t="n">
        <v>37653</v>
      </c>
      <c r="V53" s="63" t="n">
        <f aca="false">+B53+N53</f>
        <v>0</v>
      </c>
      <c r="W53" s="63" t="n">
        <f aca="false">+W52+V53</f>
        <v>6000000</v>
      </c>
      <c r="X53" s="26" t="n">
        <f aca="false">+D53+P53</f>
        <v>0</v>
      </c>
      <c r="Y53" s="26" t="n">
        <f aca="false">+E53+Q53</f>
        <v>0</v>
      </c>
      <c r="Z53" s="26" t="n">
        <f aca="false">+F53+R53</f>
        <v>0</v>
      </c>
      <c r="AA53" s="27" t="n">
        <f aca="false">IF(Z53&lt;&gt;0,+Z53/V53,0)</f>
        <v>0</v>
      </c>
      <c r="AB53" s="65"/>
    </row>
    <row r="54" customFormat="false" ht="12.75" hidden="false" customHeight="false" outlineLevel="0" collapsed="false">
      <c r="A54" s="50" t="n">
        <v>37681</v>
      </c>
      <c r="B54" s="44" t="n">
        <v>0</v>
      </c>
      <c r="C54" s="31" t="n">
        <v>0</v>
      </c>
      <c r="D54" s="26"/>
      <c r="E54" s="26"/>
      <c r="F54" s="26"/>
      <c r="G54" s="28"/>
      <c r="H54" s="27"/>
      <c r="I54" s="65"/>
      <c r="J54" s="69"/>
      <c r="K54" s="67"/>
      <c r="L54" s="26"/>
      <c r="M54" s="50" t="n">
        <v>37681</v>
      </c>
      <c r="N54" s="66" t="n">
        <f aca="false">+-4000000+-1000000</f>
        <v>-5000000</v>
      </c>
      <c r="O54" s="45" t="n">
        <f aca="false">+O53+N54</f>
        <v>1000000</v>
      </c>
      <c r="P54" s="65"/>
      <c r="Q54" s="64" t="n">
        <v>20067809</v>
      </c>
      <c r="R54" s="26" t="n">
        <f aca="false">+P54-Q54</f>
        <v>-20067809</v>
      </c>
      <c r="S54" s="27" t="n">
        <f aca="false">IF(R54&lt;&gt;0,+R54/N54,0)</f>
        <v>4.0135618</v>
      </c>
      <c r="T54" s="28"/>
      <c r="U54" s="50" t="n">
        <v>37681</v>
      </c>
      <c r="V54" s="63" t="n">
        <f aca="false">+B54+N54</f>
        <v>-5000000</v>
      </c>
      <c r="W54" s="63" t="n">
        <f aca="false">+W53+V54</f>
        <v>1000000</v>
      </c>
      <c r="X54" s="26" t="n">
        <f aca="false">+D54+P54</f>
        <v>0</v>
      </c>
      <c r="Y54" s="26" t="n">
        <f aca="false">+E54+Q54</f>
        <v>20067809</v>
      </c>
      <c r="Z54" s="26" t="n">
        <f aca="false">+F54+R54</f>
        <v>-20067809</v>
      </c>
      <c r="AA54" s="27" t="n">
        <f aca="false">IF(Z54&lt;&gt;0,+Z54/V54,0)</f>
        <v>4.0135618</v>
      </c>
      <c r="AB54" s="65"/>
    </row>
    <row r="55" customFormat="false" ht="12.75" hidden="false" customHeight="false" outlineLevel="0" collapsed="false">
      <c r="A55" s="65"/>
      <c r="B55" s="65"/>
      <c r="C55" s="65"/>
      <c r="D55" s="65"/>
      <c r="E55" s="65"/>
      <c r="F55" s="70"/>
      <c r="G55" s="65"/>
      <c r="H55" s="65"/>
      <c r="I55" s="65"/>
      <c r="J55" s="69"/>
      <c r="K55" s="67"/>
      <c r="M55" s="50"/>
      <c r="N55" s="66"/>
      <c r="O55" s="45"/>
      <c r="P55" s="26"/>
      <c r="Q55" s="26"/>
      <c r="R55" s="26"/>
      <c r="S55" s="26"/>
      <c r="T55" s="28"/>
      <c r="U55" s="50"/>
      <c r="V55" s="66"/>
      <c r="W55" s="45"/>
      <c r="X55" s="26"/>
      <c r="Y55" s="26"/>
      <c r="AA55" s="28"/>
      <c r="AB55" s="27"/>
    </row>
    <row r="56" customFormat="false" ht="12.75" hidden="false" customHeight="false" outlineLevel="0" collapsed="false">
      <c r="A56" s="50" t="s">
        <v>18</v>
      </c>
      <c r="B56" s="50"/>
      <c r="C56" s="45"/>
      <c r="D56" s="46"/>
      <c r="E56" s="46"/>
      <c r="F56" s="26" t="n">
        <f aca="false">SUM(F30:F54)</f>
        <v>-9678959.27</v>
      </c>
      <c r="G56" s="28"/>
      <c r="H56" s="71"/>
      <c r="I56" s="28"/>
      <c r="J56" s="46"/>
      <c r="K56" s="46"/>
      <c r="M56" s="50" t="s">
        <v>18</v>
      </c>
      <c r="N56" s="50"/>
      <c r="O56" s="45"/>
      <c r="P56" s="46"/>
      <c r="Q56" s="46"/>
      <c r="R56" s="26" t="n">
        <f aca="false">SUM(R30:R54)</f>
        <v>-2649149</v>
      </c>
      <c r="S56" s="26"/>
      <c r="T56" s="28"/>
      <c r="U56" s="50" t="s">
        <v>18</v>
      </c>
      <c r="V56" s="50"/>
      <c r="W56" s="45"/>
      <c r="X56" s="46"/>
      <c r="Y56" s="46"/>
      <c r="Z56" s="26" t="n">
        <f aca="false">SUM(Z30:Z54)</f>
        <v>-12328108.27</v>
      </c>
      <c r="AA56" s="28"/>
      <c r="AB56" s="71"/>
    </row>
    <row r="57" customFormat="false" ht="12.75" hidden="false" customHeight="false" outlineLevel="0" collapsed="false">
      <c r="A57" s="50"/>
      <c r="B57" s="50"/>
      <c r="C57" s="50"/>
      <c r="D57" s="72"/>
      <c r="E57" s="72" t="s">
        <v>26</v>
      </c>
      <c r="F57" s="26" t="n">
        <v>-3587750</v>
      </c>
      <c r="G57" s="28"/>
      <c r="H57" s="73"/>
      <c r="I57" s="28"/>
      <c r="J57" s="72"/>
      <c r="K57" s="46"/>
    </row>
    <row r="58" customFormat="false" ht="12.75" hidden="false" customHeight="false" outlineLevel="0" collapsed="false">
      <c r="E58" s="1" t="s">
        <v>27</v>
      </c>
      <c r="F58" s="74" t="n">
        <f aca="false">+F56-F57</f>
        <v>-6091209.27</v>
      </c>
      <c r="J58" s="75"/>
      <c r="K58" s="75"/>
      <c r="R58" s="26"/>
    </row>
  </sheetData>
  <printOptions headings="false" gridLines="false" gridLinesSet="true" horizontalCentered="false" verticalCentered="false"/>
  <pageMargins left="0.320138888888889" right="0.220138888888889" top="0.629861111111111" bottom="0.620138888888889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&amp;L&amp;D&amp;C&amp;F&amp;R&amp;T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E30" activeCellId="0" sqref="E30: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28"/>
    <col collapsed="false" customWidth="true" hidden="false" outlineLevel="0" max="3" min="3" style="0" width="13.56"/>
    <col collapsed="false" customWidth="true" hidden="false" outlineLevel="0" max="4" min="4" style="0" width="14.14"/>
    <col collapsed="false" customWidth="true" hidden="false" outlineLevel="0" max="5" min="5" style="0" width="18.14"/>
    <col collapsed="false" customWidth="true" hidden="false" outlineLevel="0" max="6" min="6" style="1" width="18.14"/>
    <col collapsed="false" customWidth="true" hidden="false" outlineLevel="0" max="7" min="7" style="0" width="6.99"/>
    <col collapsed="false" customWidth="true" hidden="false" outlineLevel="0" max="8" min="8" style="0" width="11.99"/>
    <col collapsed="false" customWidth="true" hidden="false" outlineLevel="0" max="9" min="9" style="0" width="32.7"/>
    <col collapsed="false" customWidth="true" hidden="false" outlineLevel="0" max="10" min="10" style="0" width="11.99"/>
    <col collapsed="false" customWidth="true" hidden="false" outlineLevel="0" max="11" min="11" style="0" width="11.85"/>
    <col collapsed="false" customWidth="true" hidden="false" outlineLevel="0" max="12" min="12" style="0" width="8.41"/>
    <col collapsed="false" customWidth="true" hidden="false" outlineLevel="0" max="13" min="13" style="0" width="16.84"/>
    <col collapsed="false" customWidth="true" hidden="false" outlineLevel="0" max="14" min="14" style="0" width="11.28"/>
    <col collapsed="false" customWidth="true" hidden="false" outlineLevel="0" max="15" min="15" style="0" width="13.56"/>
    <col collapsed="false" customWidth="true" hidden="false" outlineLevel="0" max="17" min="16" style="0" width="12.42"/>
    <col collapsed="false" customWidth="true" hidden="false" outlineLevel="0" max="18" min="18" style="0" width="18.14"/>
    <col collapsed="false" customWidth="true" hidden="false" outlineLevel="0" max="19" min="19" style="0" width="13.99"/>
    <col collapsed="false" customWidth="true" hidden="false" outlineLevel="0" max="22" min="22" style="0" width="11.28"/>
    <col collapsed="false" customWidth="true" hidden="false" outlineLevel="0" max="23" min="23" style="0" width="13.56"/>
    <col collapsed="false" customWidth="true" hidden="false" outlineLevel="0" max="25" min="24" style="0" width="12.42"/>
    <col collapsed="false" customWidth="true" hidden="false" outlineLevel="0" max="26" min="26" style="0" width="18.14"/>
    <col collapsed="false" customWidth="true" hidden="false" outlineLevel="0" max="27" min="27" style="0" width="9.99"/>
  </cols>
  <sheetData>
    <row r="1" customFormat="false" ht="13.5" hidden="false" customHeight="false" outlineLevel="0" collapsed="false">
      <c r="A1" s="2"/>
      <c r="B1" s="2"/>
      <c r="C1" s="2"/>
      <c r="D1" s="3"/>
      <c r="E1" s="3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2.75" hidden="false" customHeight="false" outlineLevel="0" collapsed="false">
      <c r="A2" s="4" t="s">
        <v>0</v>
      </c>
      <c r="B2" s="5"/>
      <c r="C2" s="5"/>
      <c r="D2" s="6"/>
      <c r="E2" s="6"/>
      <c r="F2" s="7"/>
      <c r="G2" s="7"/>
      <c r="H2" s="8"/>
      <c r="I2" s="9" t="s">
        <v>1</v>
      </c>
      <c r="J2" s="8"/>
      <c r="K2" s="10"/>
      <c r="L2" s="3"/>
      <c r="M2" s="2" t="s">
        <v>2</v>
      </c>
      <c r="N2" s="3"/>
      <c r="O2" s="3"/>
      <c r="P2" s="3"/>
      <c r="Q2" s="3"/>
      <c r="R2" s="3"/>
      <c r="S2" s="3"/>
    </row>
    <row r="3" customFormat="false" ht="12.75" hidden="false" customHeight="false" outlineLevel="0" collapsed="false">
      <c r="A3" s="11"/>
      <c r="B3" s="12"/>
      <c r="C3" s="12"/>
      <c r="D3" s="13"/>
      <c r="E3" s="13"/>
      <c r="F3" s="12"/>
      <c r="G3" s="12"/>
      <c r="H3" s="14"/>
      <c r="I3" s="12"/>
      <c r="J3" s="14"/>
      <c r="K3" s="15"/>
      <c r="L3" s="3"/>
      <c r="M3" s="2" t="s">
        <v>3</v>
      </c>
      <c r="N3" s="3"/>
      <c r="O3" s="3"/>
      <c r="P3" s="3"/>
      <c r="Q3" s="3"/>
      <c r="R3" s="3"/>
      <c r="S3" s="3"/>
    </row>
    <row r="4" customFormat="false" ht="12.75" hidden="false" customHeight="false" outlineLevel="0" collapsed="false">
      <c r="A4" s="11"/>
      <c r="B4" s="12" t="s">
        <v>4</v>
      </c>
      <c r="C4" s="12" t="s">
        <v>5</v>
      </c>
      <c r="D4" s="13" t="s">
        <v>6</v>
      </c>
      <c r="E4" s="13" t="s">
        <v>7</v>
      </c>
      <c r="F4" s="12"/>
      <c r="G4" s="12" t="s">
        <v>8</v>
      </c>
      <c r="H4" s="16" t="s">
        <v>9</v>
      </c>
      <c r="I4" s="12" t="s">
        <v>10</v>
      </c>
      <c r="J4" s="16" t="s">
        <v>9</v>
      </c>
      <c r="K4" s="17"/>
      <c r="L4" s="3"/>
      <c r="M4" s="2"/>
      <c r="N4" s="3"/>
      <c r="O4" s="3"/>
      <c r="P4" s="3"/>
      <c r="Q4" s="3"/>
      <c r="R4" s="3"/>
      <c r="S4" s="3"/>
    </row>
    <row r="5" customFormat="false" ht="12.75" hidden="false" customHeight="false" outlineLevel="0" collapsed="false">
      <c r="A5" s="18" t="s">
        <v>11</v>
      </c>
      <c r="B5" s="19" t="s">
        <v>3</v>
      </c>
      <c r="C5" s="19" t="s">
        <v>3</v>
      </c>
      <c r="D5" s="20" t="s">
        <v>12</v>
      </c>
      <c r="E5" s="20" t="s">
        <v>12</v>
      </c>
      <c r="F5" s="19" t="s">
        <v>13</v>
      </c>
      <c r="G5" s="19" t="s">
        <v>14</v>
      </c>
      <c r="H5" s="21" t="s">
        <v>15</v>
      </c>
      <c r="I5" s="19" t="s">
        <v>14</v>
      </c>
      <c r="J5" s="21" t="s">
        <v>15</v>
      </c>
      <c r="K5" s="22" t="s">
        <v>16</v>
      </c>
      <c r="L5" s="3"/>
      <c r="M5" s="23"/>
      <c r="N5" s="3"/>
      <c r="O5" s="3"/>
      <c r="P5" s="3"/>
      <c r="Q5" s="3"/>
      <c r="R5" s="3"/>
      <c r="S5" s="3"/>
    </row>
    <row r="6" customFormat="false" ht="12.75" hidden="false" customHeight="false" outlineLevel="0" collapsed="false">
      <c r="A6" s="11"/>
      <c r="B6" s="12"/>
      <c r="C6" s="12"/>
      <c r="D6" s="13"/>
      <c r="E6" s="13"/>
      <c r="F6" s="12"/>
      <c r="G6" s="12"/>
      <c r="H6" s="14"/>
      <c r="I6" s="12"/>
      <c r="J6" s="24"/>
      <c r="K6" s="15"/>
      <c r="L6" s="3"/>
      <c r="M6" s="23"/>
      <c r="N6" s="3"/>
      <c r="O6" s="3" t="s">
        <v>17</v>
      </c>
      <c r="P6" s="3"/>
      <c r="Q6" s="3"/>
      <c r="R6" s="3"/>
      <c r="S6" s="3"/>
    </row>
    <row r="7" customFormat="false" ht="12.75" hidden="false" customHeight="false" outlineLevel="0" collapsed="false">
      <c r="A7" s="25" t="n">
        <v>36951</v>
      </c>
      <c r="B7" s="23" t="n">
        <f aca="false">2391039-229584</f>
        <v>2161455</v>
      </c>
      <c r="C7" s="23" t="n">
        <v>2161455</v>
      </c>
      <c r="D7" s="26" t="n">
        <v>11019220.6923915</v>
      </c>
      <c r="E7" s="26" t="n">
        <v>0</v>
      </c>
      <c r="F7" s="27" t="n">
        <f aca="false">+(D7-E7)/C7</f>
        <v>5.0980569534834</v>
      </c>
      <c r="G7" s="28" t="n">
        <v>0.085</v>
      </c>
      <c r="H7" s="29" t="n">
        <f aca="false">+D7*(G7/12)</f>
        <v>78052.8132377729</v>
      </c>
      <c r="I7" s="28" t="n">
        <v>0.09</v>
      </c>
      <c r="J7" s="29" t="n">
        <f aca="false">+D7*(I7/12)</f>
        <v>82644.155192936</v>
      </c>
      <c r="K7" s="30" t="n">
        <f aca="false">+H7-J7</f>
        <v>-4591.34195516311</v>
      </c>
      <c r="L7" s="3"/>
      <c r="M7" s="31" t="n">
        <v>2161323</v>
      </c>
      <c r="N7" s="23" t="n">
        <f aca="false">+B7-M7</f>
        <v>132</v>
      </c>
      <c r="O7" s="23" t="n">
        <v>0</v>
      </c>
      <c r="P7" s="31" t="n">
        <v>2073170</v>
      </c>
      <c r="Q7" s="32" t="n">
        <f aca="false">+M7-P7</f>
        <v>88153</v>
      </c>
      <c r="R7" s="3"/>
      <c r="S7" s="3"/>
    </row>
    <row r="8" customFormat="false" ht="12.75" hidden="false" customHeight="false" outlineLevel="0" collapsed="false">
      <c r="A8" s="25" t="n">
        <v>36982</v>
      </c>
      <c r="B8" s="23" t="n">
        <f aca="false">+C8-C7</f>
        <v>1266261</v>
      </c>
      <c r="C8" s="23" t="n">
        <v>3427716</v>
      </c>
      <c r="D8" s="26" t="n">
        <v>17663258.2198598</v>
      </c>
      <c r="E8" s="26" t="n">
        <v>280165</v>
      </c>
      <c r="F8" s="27" t="n">
        <f aca="false">+(D8-E8)/C8</f>
        <v>5.07133415366377</v>
      </c>
      <c r="G8" s="28" t="n">
        <v>0.08</v>
      </c>
      <c r="H8" s="29" t="n">
        <f aca="false">+D8*(G8/12)</f>
        <v>117755.054799065</v>
      </c>
      <c r="I8" s="28" t="n">
        <v>0.09</v>
      </c>
      <c r="J8" s="29" t="n">
        <f aca="false">+D8*(I8/12)</f>
        <v>132474.436648948</v>
      </c>
      <c r="K8" s="30" t="n">
        <f aca="false">+H8-J8</f>
        <v>-14719.3818498831</v>
      </c>
      <c r="L8" s="3"/>
      <c r="M8" s="23" t="n">
        <v>1288330</v>
      </c>
      <c r="N8" s="23" t="n">
        <f aca="false">+B8-M8</f>
        <v>-22069</v>
      </c>
      <c r="O8" s="23" t="n">
        <v>21984</v>
      </c>
      <c r="P8" s="31" t="n">
        <v>1286773</v>
      </c>
      <c r="Q8" s="32" t="n">
        <f aca="false">+M8-P8</f>
        <v>1557</v>
      </c>
      <c r="R8" s="3"/>
      <c r="S8" s="3"/>
    </row>
    <row r="9" customFormat="false" ht="12.75" hidden="false" customHeight="false" outlineLevel="0" collapsed="false">
      <c r="A9" s="25" t="n">
        <v>37012</v>
      </c>
      <c r="B9" s="23" t="n">
        <f aca="false">+C9-C8</f>
        <v>2031347</v>
      </c>
      <c r="C9" s="23" t="n">
        <v>5459063</v>
      </c>
      <c r="D9" s="26" t="n">
        <v>26970147.464201</v>
      </c>
      <c r="E9" s="26" t="n">
        <v>1161561</v>
      </c>
      <c r="F9" s="27" t="n">
        <f aca="false">+(D9-E9)/C9</f>
        <v>4.72765865940749</v>
      </c>
      <c r="G9" s="28" t="n">
        <v>0.075</v>
      </c>
      <c r="H9" s="29" t="n">
        <f aca="false">+D9*(G9/12)</f>
        <v>168563.421651256</v>
      </c>
      <c r="I9" s="28" t="n">
        <v>0.09</v>
      </c>
      <c r="J9" s="29" t="n">
        <f aca="false">+D9*(I9/12)</f>
        <v>202276.105981508</v>
      </c>
      <c r="K9" s="30" t="n">
        <f aca="false">+H9-J9</f>
        <v>-33712.6843302513</v>
      </c>
      <c r="L9" s="3"/>
      <c r="M9" s="23" t="n">
        <v>2064533</v>
      </c>
      <c r="N9" s="23" t="n">
        <f aca="false">+B9-M9</f>
        <v>-33186</v>
      </c>
      <c r="O9" s="23" t="n">
        <v>35106</v>
      </c>
      <c r="P9" s="31" t="n">
        <v>2067464</v>
      </c>
      <c r="Q9" s="32" t="n">
        <f aca="false">+M9-P9</f>
        <v>-2931</v>
      </c>
      <c r="R9" s="3"/>
      <c r="S9" s="3"/>
    </row>
    <row r="10" customFormat="false" ht="12.75" hidden="false" customHeight="false" outlineLevel="0" collapsed="false">
      <c r="A10" s="25" t="n">
        <v>37043</v>
      </c>
      <c r="B10" s="23" t="n">
        <f aca="false">+C10-C9</f>
        <v>2822006</v>
      </c>
      <c r="C10" s="23" t="n">
        <v>8281069</v>
      </c>
      <c r="D10" s="26" t="n">
        <v>37023259.77</v>
      </c>
      <c r="E10" s="26" t="n">
        <v>-166011</v>
      </c>
      <c r="F10" s="27" t="n">
        <f aca="false">+(D10-E10)/C10</f>
        <v>4.49087802190756</v>
      </c>
      <c r="G10" s="28" t="n">
        <v>0.07</v>
      </c>
      <c r="H10" s="29" t="n">
        <f aca="false">+D10*(G10/12)</f>
        <v>215969.015325</v>
      </c>
      <c r="I10" s="28" t="n">
        <v>0.09</v>
      </c>
      <c r="J10" s="29" t="n">
        <f aca="false">+D10*(I10/12)</f>
        <v>277674.448275</v>
      </c>
      <c r="K10" s="30" t="n">
        <f aca="false">+H10-J10</f>
        <v>-61705.43295</v>
      </c>
      <c r="L10" s="3"/>
      <c r="M10" s="23" t="n">
        <v>2857103</v>
      </c>
      <c r="N10" s="23" t="n">
        <f aca="false">+B10-M10</f>
        <v>-35097</v>
      </c>
      <c r="O10" s="23" t="n">
        <v>43218</v>
      </c>
      <c r="P10" s="31" t="n">
        <v>2867180</v>
      </c>
      <c r="Q10" s="32" t="n">
        <f aca="false">+M10-P10</f>
        <v>-10077</v>
      </c>
      <c r="R10" s="3"/>
      <c r="S10" s="3"/>
    </row>
    <row r="11" customFormat="false" ht="12.75" hidden="false" customHeight="false" outlineLevel="0" collapsed="false">
      <c r="A11" s="33" t="n">
        <v>37073</v>
      </c>
      <c r="B11" s="31" t="n">
        <f aca="false">+C11-C10</f>
        <v>2179520</v>
      </c>
      <c r="C11" s="31" t="n">
        <v>10460589</v>
      </c>
      <c r="D11" s="26" t="n">
        <v>42719858.84</v>
      </c>
      <c r="E11" s="26" t="n">
        <v>-1625468</v>
      </c>
      <c r="F11" s="27" t="n">
        <f aca="false">+(D11-E11)/C11</f>
        <v>4.23927628167018</v>
      </c>
      <c r="G11" s="28" t="n">
        <f aca="false">4%+0.02</f>
        <v>0.06</v>
      </c>
      <c r="H11" s="29" t="n">
        <f aca="false">+D11*(G11/12)</f>
        <v>213599.2942</v>
      </c>
      <c r="I11" s="28" t="n">
        <v>0.09</v>
      </c>
      <c r="J11" s="29" t="n">
        <f aca="false">+D11*(I11/12)</f>
        <v>320398.9413</v>
      </c>
      <c r="K11" s="30" t="n">
        <f aca="false">+H11-J11</f>
        <v>-106799.6471</v>
      </c>
      <c r="L11" s="34"/>
      <c r="M11" s="23" t="n">
        <v>2222676</v>
      </c>
      <c r="N11" s="23" t="n">
        <f aca="false">+B11-M11</f>
        <v>-43156</v>
      </c>
      <c r="O11" s="23" t="n">
        <v>33144</v>
      </c>
      <c r="P11" s="31" t="n">
        <v>2222664</v>
      </c>
      <c r="Q11" s="32" t="n">
        <f aca="false">+M11-P11</f>
        <v>12</v>
      </c>
      <c r="R11" s="3"/>
      <c r="S11" s="3"/>
    </row>
    <row r="12" customFormat="false" ht="12.75" hidden="false" customHeight="false" outlineLevel="0" collapsed="false">
      <c r="A12" s="33" t="n">
        <v>37104</v>
      </c>
      <c r="B12" s="35" t="n">
        <f aca="false">+C12-C11</f>
        <v>976685</v>
      </c>
      <c r="C12" s="31" t="n">
        <v>11437274</v>
      </c>
      <c r="D12" s="26" t="n">
        <v>45022210.23</v>
      </c>
      <c r="E12" s="36"/>
      <c r="F12" s="27" t="n">
        <f aca="false">+(D12-E12)/C12</f>
        <v>3.93644588999092</v>
      </c>
      <c r="G12" s="28" t="n">
        <v>0.06</v>
      </c>
      <c r="H12" s="29" t="n">
        <f aca="false">+D12*(G12/12)</f>
        <v>225111.05115</v>
      </c>
      <c r="I12" s="28" t="n">
        <v>0.09</v>
      </c>
      <c r="J12" s="29" t="n">
        <f aca="false">+D12*(I12/12)</f>
        <v>337666.576725</v>
      </c>
      <c r="K12" s="30" t="n">
        <f aca="false">+H12-J12</f>
        <v>-112555.525575</v>
      </c>
      <c r="L12" s="3"/>
      <c r="M12" s="35" t="n">
        <v>1085315</v>
      </c>
      <c r="N12" s="23" t="n">
        <f aca="false">+B12-M12</f>
        <v>-108630</v>
      </c>
      <c r="O12" s="23" t="n">
        <v>12276</v>
      </c>
      <c r="P12" s="31" t="n">
        <v>1072780</v>
      </c>
      <c r="Q12" s="32" t="n">
        <f aca="false">+M12-P12</f>
        <v>12535</v>
      </c>
      <c r="R12" s="3"/>
      <c r="S12" s="3"/>
    </row>
    <row r="13" customFormat="false" ht="12.75" hidden="false" customHeight="false" outlineLevel="0" collapsed="false">
      <c r="A13" s="37" t="n">
        <v>37135</v>
      </c>
      <c r="B13" s="38" t="n">
        <f aca="false">+C13-C12</f>
        <v>1887128</v>
      </c>
      <c r="C13" s="38" t="n">
        <v>13324402</v>
      </c>
      <c r="D13" s="39" t="n">
        <f aca="false">+D12+444853+2638575</f>
        <v>48105638.23</v>
      </c>
      <c r="E13" s="39"/>
      <c r="F13" s="40" t="n">
        <f aca="false">+(D13-E13)/C13</f>
        <v>3.61034125433922</v>
      </c>
      <c r="G13" s="41" t="n">
        <f aca="false">0.0393+0.02</f>
        <v>0.0593</v>
      </c>
      <c r="H13" s="42" t="n">
        <f aca="false">+D13*(G13/12)</f>
        <v>237722.028919917</v>
      </c>
      <c r="I13" s="41" t="n">
        <v>0.09</v>
      </c>
      <c r="J13" s="42" t="n">
        <f aca="false">+D13*(I13/12)</f>
        <v>360792.286725</v>
      </c>
      <c r="K13" s="43" t="n">
        <f aca="false">+H13-J13</f>
        <v>-123070.257805083</v>
      </c>
      <c r="L13" s="3"/>
      <c r="M13" s="3"/>
      <c r="N13" s="3"/>
      <c r="O13" s="3"/>
      <c r="P13" s="31" t="n">
        <v>1049348</v>
      </c>
      <c r="Q13" s="32" t="n">
        <f aca="false">+M13-P13</f>
        <v>-1049348</v>
      </c>
      <c r="R13" s="3"/>
      <c r="S13" s="3"/>
    </row>
    <row r="14" customFormat="false" ht="12.75" hidden="false" customHeight="false" outlineLevel="0" collapsed="false">
      <c r="A14" s="33" t="n">
        <v>37165</v>
      </c>
      <c r="B14" s="31" t="n">
        <f aca="false">+C14-C13</f>
        <v>1627317</v>
      </c>
      <c r="C14" s="31" t="n">
        <v>14951719</v>
      </c>
      <c r="D14" s="26" t="n">
        <f aca="false">+D13+5439307</f>
        <v>53544945.23</v>
      </c>
      <c r="E14" s="26"/>
      <c r="F14" s="27" t="n">
        <f aca="false">+(D14-E14)/C14</f>
        <v>3.58118991067181</v>
      </c>
      <c r="G14" s="28" t="n">
        <f aca="false">0.0391+0.02</f>
        <v>0.0591</v>
      </c>
      <c r="H14" s="29" t="n">
        <f aca="false">+D14*(G14/12)</f>
        <v>263708.85525775</v>
      </c>
      <c r="I14" s="28" t="n">
        <v>0.09</v>
      </c>
      <c r="J14" s="29" t="n">
        <f aca="false">+D14*(I14/12)</f>
        <v>401587.089225</v>
      </c>
      <c r="K14" s="30" t="n">
        <f aca="false">+H14-J14</f>
        <v>-137878.23396725</v>
      </c>
      <c r="L14" s="3"/>
      <c r="M14" s="3"/>
      <c r="N14" s="3"/>
      <c r="O14" s="3"/>
      <c r="P14" s="3"/>
      <c r="Q14" s="3"/>
      <c r="R14" s="3"/>
      <c r="S14" s="3"/>
    </row>
    <row r="15" customFormat="false" ht="12.75" hidden="false" customHeight="false" outlineLevel="0" collapsed="false">
      <c r="A15" s="33" t="n">
        <v>37196</v>
      </c>
      <c r="B15" s="44" t="n">
        <f aca="false">+C15-C14</f>
        <v>-2564363</v>
      </c>
      <c r="C15" s="31" t="n">
        <v>12387356</v>
      </c>
      <c r="D15" s="26" t="n">
        <f aca="false">+D14+(B15*F14)</f>
        <v>44361474.3270999</v>
      </c>
      <c r="E15" s="26"/>
      <c r="F15" s="26"/>
      <c r="G15" s="28" t="n">
        <f aca="false">0.039+0.02</f>
        <v>0.059</v>
      </c>
      <c r="H15" s="29" t="n">
        <f aca="false">+D15*(G15/12)</f>
        <v>218110.582108241</v>
      </c>
      <c r="I15" s="28" t="n">
        <v>0.09</v>
      </c>
      <c r="J15" s="29" t="n">
        <f aca="false">+D15*(I15/12)</f>
        <v>332711.057453249</v>
      </c>
      <c r="K15" s="30" t="n">
        <f aca="false">+H15-J15</f>
        <v>-114600.475345008</v>
      </c>
      <c r="L15" s="3"/>
      <c r="M15" s="3"/>
      <c r="N15" s="3"/>
      <c r="O15" s="3"/>
      <c r="P15" s="3"/>
      <c r="Q15" s="3"/>
      <c r="R15" s="3"/>
      <c r="S15" s="3"/>
    </row>
    <row r="16" customFormat="false" ht="12.75" hidden="false" customHeight="false" outlineLevel="0" collapsed="false">
      <c r="A16" s="33" t="n">
        <v>37226</v>
      </c>
      <c r="B16" s="44" t="n">
        <f aca="false">+C16-C15</f>
        <v>-4920003</v>
      </c>
      <c r="C16" s="31" t="n">
        <v>7467353</v>
      </c>
      <c r="D16" s="26" t="n">
        <f aca="false">+D15+(B16*F14)</f>
        <v>26742009.2230249</v>
      </c>
      <c r="E16" s="26"/>
      <c r="F16" s="26"/>
      <c r="G16" s="28" t="n">
        <f aca="false">0.039+0.02</f>
        <v>0.059</v>
      </c>
      <c r="H16" s="29" t="n">
        <f aca="false">+D16*(G16/12)</f>
        <v>131481.545346539</v>
      </c>
      <c r="I16" s="28" t="n">
        <v>0.09</v>
      </c>
      <c r="J16" s="29" t="n">
        <f aca="false">+D16*(I16/12)</f>
        <v>200565.069172687</v>
      </c>
      <c r="K16" s="30" t="n">
        <f aca="false">+H16-J16</f>
        <v>-69083.5238261476</v>
      </c>
      <c r="L16" s="3"/>
      <c r="M16" s="3"/>
      <c r="N16" s="3"/>
      <c r="O16" s="3"/>
      <c r="P16" s="3"/>
      <c r="Q16" s="3"/>
      <c r="R16" s="3"/>
      <c r="S16" s="3"/>
    </row>
    <row r="17" customFormat="false" ht="12.75" hidden="false" customHeight="false" outlineLevel="0" collapsed="false">
      <c r="A17" s="33" t="n">
        <v>37257</v>
      </c>
      <c r="B17" s="44" t="n">
        <f aca="false">+C17-C16</f>
        <v>-2162337</v>
      </c>
      <c r="C17" s="31" t="n">
        <v>5305016</v>
      </c>
      <c r="D17" s="26" t="n">
        <f aca="false">+D16+(B17*F14)</f>
        <v>18998269.7751525</v>
      </c>
      <c r="E17" s="26"/>
      <c r="F17" s="26"/>
      <c r="G17" s="28" t="n">
        <f aca="false">0.0391+0.02</f>
        <v>0.0591</v>
      </c>
      <c r="H17" s="29" t="n">
        <f aca="false">+D17*(G17/12)</f>
        <v>93566.4786426262</v>
      </c>
      <c r="I17" s="28" t="n">
        <v>0.09</v>
      </c>
      <c r="J17" s="29" t="n">
        <f aca="false">+D17*(I17/12)</f>
        <v>142487.023313644</v>
      </c>
      <c r="K17" s="30" t="n">
        <f aca="false">+H17-J17</f>
        <v>-48920.5446710177</v>
      </c>
      <c r="L17" s="3"/>
      <c r="M17" s="3"/>
      <c r="N17" s="3"/>
      <c r="O17" s="3"/>
      <c r="P17" s="3"/>
      <c r="Q17" s="3"/>
      <c r="R17" s="3"/>
      <c r="S17" s="3"/>
    </row>
    <row r="18" customFormat="false" ht="12.75" hidden="false" customHeight="false" outlineLevel="0" collapsed="false">
      <c r="A18" s="33" t="n">
        <v>37288</v>
      </c>
      <c r="B18" s="44" t="n">
        <f aca="false">+C18-C17</f>
        <v>-2002604</v>
      </c>
      <c r="C18" s="31" t="n">
        <v>3302412</v>
      </c>
      <c r="D18" s="26" t="n">
        <f aca="false">+D17+(B18*F14)</f>
        <v>11826564.5352815</v>
      </c>
      <c r="E18" s="26"/>
      <c r="F18" s="26"/>
      <c r="G18" s="28" t="n">
        <f aca="false">0.0395+0.02</f>
        <v>0.0595</v>
      </c>
      <c r="H18" s="29" t="n">
        <f aca="false">+D18*(G18/12)</f>
        <v>58640.0491541042</v>
      </c>
      <c r="I18" s="28" t="n">
        <v>0.09</v>
      </c>
      <c r="J18" s="29" t="n">
        <f aca="false">+D18*(I18/12)</f>
        <v>88699.2340146113</v>
      </c>
      <c r="K18" s="30" t="n">
        <f aca="false">+H18-J18</f>
        <v>-30059.1848605072</v>
      </c>
      <c r="L18" s="3"/>
      <c r="M18" s="3"/>
      <c r="N18" s="3"/>
      <c r="O18" s="3"/>
      <c r="P18" s="3"/>
      <c r="Q18" s="3"/>
      <c r="R18" s="3"/>
      <c r="S18" s="3"/>
    </row>
    <row r="19" customFormat="false" ht="12.75" hidden="false" customHeight="false" outlineLevel="0" collapsed="false">
      <c r="A19" s="33" t="n">
        <v>37316</v>
      </c>
      <c r="B19" s="44" t="n">
        <f aca="false">+C19-C18</f>
        <v>-3302412</v>
      </c>
      <c r="C19" s="31" t="n">
        <v>0</v>
      </c>
      <c r="D19" s="26" t="n">
        <f aca="false">+D18+(B19*F14)</f>
        <v>0</v>
      </c>
      <c r="E19" s="26"/>
      <c r="F19" s="26"/>
      <c r="G19" s="28" t="n">
        <f aca="false">0.0398+0.02</f>
        <v>0.0598</v>
      </c>
      <c r="H19" s="29" t="n">
        <f aca="false">+D19*(G19/12)</f>
        <v>0</v>
      </c>
      <c r="I19" s="28" t="n">
        <v>0.09</v>
      </c>
      <c r="J19" s="29" t="n">
        <f aca="false">+D19*(I19/12)</f>
        <v>0</v>
      </c>
      <c r="K19" s="30" t="n">
        <f aca="false">+H19-J19</f>
        <v>0</v>
      </c>
      <c r="L19" s="3"/>
      <c r="M19" s="3"/>
      <c r="N19" s="3"/>
      <c r="O19" s="3"/>
      <c r="P19" s="3"/>
      <c r="Q19" s="3"/>
      <c r="R19" s="3"/>
      <c r="S19" s="3"/>
    </row>
    <row r="20" customFormat="false" ht="12.75" hidden="false" customHeight="false" outlineLevel="0" collapsed="false">
      <c r="A20" s="33"/>
      <c r="B20" s="31"/>
      <c r="C20" s="45"/>
      <c r="D20" s="46"/>
      <c r="E20" s="46"/>
      <c r="F20" s="46"/>
      <c r="G20" s="28"/>
      <c r="H20" s="47"/>
      <c r="I20" s="28"/>
      <c r="J20" s="48"/>
      <c r="K20" s="49"/>
      <c r="L20" s="3"/>
      <c r="M20" s="3"/>
      <c r="N20" s="3"/>
      <c r="O20" s="3"/>
      <c r="P20" s="3"/>
      <c r="Q20" s="3"/>
      <c r="R20" s="3"/>
      <c r="S20" s="3"/>
    </row>
    <row r="21" customFormat="false" ht="12.75" hidden="false" customHeight="false" outlineLevel="0" collapsed="false">
      <c r="A21" s="33" t="s">
        <v>18</v>
      </c>
      <c r="B21" s="50"/>
      <c r="C21" s="45"/>
      <c r="D21" s="46" t="n">
        <f aca="false">SUM(D7:D20)</f>
        <v>383996856.537011</v>
      </c>
      <c r="E21" s="46" t="n">
        <f aca="false">SUM(E7:E20)</f>
        <v>-349753</v>
      </c>
      <c r="F21" s="46"/>
      <c r="G21" s="28"/>
      <c r="H21" s="47" t="n">
        <f aca="false">SUM(H7:H20)</f>
        <v>2022280.18979227</v>
      </c>
      <c r="I21" s="28"/>
      <c r="J21" s="48" t="n">
        <f aca="false">SUM(J7:J20)</f>
        <v>2879976.42402758</v>
      </c>
      <c r="K21" s="49" t="n">
        <f aca="false">+H21-J21</f>
        <v>-857696.234235311</v>
      </c>
      <c r="L21" s="3"/>
      <c r="M21" s="3"/>
      <c r="N21" s="3"/>
      <c r="O21" s="3"/>
      <c r="P21" s="3"/>
      <c r="Q21" s="3"/>
      <c r="R21" s="3"/>
      <c r="S21" s="3"/>
    </row>
    <row r="22" customFormat="false" ht="13.5" hidden="false" customHeight="false" outlineLevel="0" collapsed="false">
      <c r="A22" s="51"/>
      <c r="B22" s="52"/>
      <c r="C22" s="52"/>
      <c r="D22" s="53"/>
      <c r="E22" s="53"/>
      <c r="F22" s="53"/>
      <c r="G22" s="54"/>
      <c r="H22" s="55"/>
      <c r="I22" s="54"/>
      <c r="J22" s="56"/>
      <c r="K22" s="57"/>
      <c r="L22" s="3"/>
      <c r="M22" s="3"/>
      <c r="N22" s="3"/>
      <c r="O22" s="3"/>
      <c r="P22" s="3"/>
      <c r="Q22" s="3"/>
      <c r="R22" s="3"/>
      <c r="S22" s="3"/>
    </row>
    <row r="23" customFormat="false" ht="12.75" hidden="false" customHeight="false" outlineLevel="0" collapsed="false">
      <c r="A23" s="58"/>
      <c r="B23" s="58"/>
      <c r="C23" s="58"/>
      <c r="D23" s="13"/>
      <c r="E23" s="13"/>
      <c r="F23" s="1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2.75" hidden="false" customHeight="false" outlineLevel="0" collapsed="false">
      <c r="A24" s="59" t="s">
        <v>19</v>
      </c>
      <c r="B24" s="58"/>
      <c r="C24" s="58"/>
      <c r="D24" s="3"/>
      <c r="E24" s="3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2.75" hidden="false" customHeight="false" outlineLevel="0" collapsed="false">
      <c r="A25" s="0" t="s">
        <v>20</v>
      </c>
      <c r="B25" s="59"/>
      <c r="C25" s="59"/>
      <c r="D25" s="13"/>
      <c r="E25" s="13"/>
      <c r="F25" s="12"/>
      <c r="G25" s="12"/>
      <c r="H25" s="13"/>
      <c r="I25" s="60"/>
      <c r="J25" s="13"/>
      <c r="K25" s="60"/>
      <c r="L25" s="3"/>
      <c r="M25" s="0" t="s">
        <v>21</v>
      </c>
      <c r="U25" s="0" t="s">
        <v>22</v>
      </c>
    </row>
    <row r="26" customFormat="false" ht="12.75" hidden="false" customHeight="false" outlineLevel="0" collapsed="false">
      <c r="A26" s="12"/>
      <c r="B26" s="12"/>
      <c r="C26" s="12"/>
      <c r="D26" s="13"/>
      <c r="E26" s="13"/>
      <c r="F26" s="12"/>
      <c r="G26" s="12"/>
      <c r="H26" s="13"/>
      <c r="I26" s="12"/>
      <c r="J26" s="13"/>
      <c r="K26" s="13"/>
      <c r="L26" s="3"/>
    </row>
    <row r="27" customFormat="false" ht="12.75" hidden="false" customHeight="false" outlineLevel="0" collapsed="false">
      <c r="A27" s="12"/>
      <c r="B27" s="12" t="s">
        <v>4</v>
      </c>
      <c r="C27" s="12" t="s">
        <v>5</v>
      </c>
      <c r="D27" s="13" t="s">
        <v>6</v>
      </c>
      <c r="E27" s="13" t="s">
        <v>7</v>
      </c>
      <c r="F27" s="12" t="s">
        <v>23</v>
      </c>
      <c r="G27" s="12"/>
      <c r="H27" s="12"/>
      <c r="I27" s="12"/>
      <c r="J27" s="12"/>
      <c r="K27" s="12"/>
      <c r="L27" s="3"/>
      <c r="N27" s="12" t="s">
        <v>4</v>
      </c>
      <c r="O27" s="12" t="s">
        <v>5</v>
      </c>
      <c r="P27" s="13" t="s">
        <v>6</v>
      </c>
      <c r="Q27" s="13" t="s">
        <v>7</v>
      </c>
      <c r="R27" s="12" t="s">
        <v>23</v>
      </c>
      <c r="S27" s="12"/>
      <c r="V27" s="12" t="s">
        <v>4</v>
      </c>
      <c r="W27" s="12" t="s">
        <v>5</v>
      </c>
      <c r="X27" s="13" t="s">
        <v>6</v>
      </c>
      <c r="Y27" s="13" t="s">
        <v>7</v>
      </c>
      <c r="Z27" s="12" t="s">
        <v>23</v>
      </c>
    </row>
    <row r="28" customFormat="false" ht="12.75" hidden="false" customHeight="false" outlineLevel="0" collapsed="false">
      <c r="A28" s="19" t="s">
        <v>11</v>
      </c>
      <c r="B28" s="19" t="s">
        <v>3</v>
      </c>
      <c r="C28" s="19" t="s">
        <v>3</v>
      </c>
      <c r="D28" s="20" t="s">
        <v>24</v>
      </c>
      <c r="E28" s="20" t="s">
        <v>12</v>
      </c>
      <c r="F28" s="19" t="s">
        <v>25</v>
      </c>
      <c r="G28" s="19"/>
      <c r="H28" s="19" t="s">
        <v>13</v>
      </c>
      <c r="I28" s="19"/>
      <c r="J28" s="19"/>
      <c r="K28" s="19"/>
      <c r="L28" s="3"/>
      <c r="M28" s="19" t="s">
        <v>11</v>
      </c>
      <c r="N28" s="19" t="s">
        <v>3</v>
      </c>
      <c r="O28" s="19" t="s">
        <v>3</v>
      </c>
      <c r="P28" s="20" t="s">
        <v>12</v>
      </c>
      <c r="Q28" s="20" t="s">
        <v>12</v>
      </c>
      <c r="R28" s="19" t="s">
        <v>25</v>
      </c>
      <c r="S28" s="19" t="s">
        <v>13</v>
      </c>
      <c r="T28" s="12"/>
      <c r="U28" s="19" t="s">
        <v>11</v>
      </c>
      <c r="V28" s="19" t="s">
        <v>3</v>
      </c>
      <c r="W28" s="19" t="s">
        <v>3</v>
      </c>
      <c r="X28" s="20" t="s">
        <v>12</v>
      </c>
      <c r="Y28" s="20" t="s">
        <v>12</v>
      </c>
      <c r="Z28" s="19" t="s">
        <v>25</v>
      </c>
      <c r="AA28" s="19" t="s">
        <v>13</v>
      </c>
      <c r="AB28" s="12"/>
    </row>
    <row r="29" customFormat="false" ht="12.75" hidden="false" customHeight="false" outlineLevel="0" collapsed="false">
      <c r="A29" s="12"/>
      <c r="B29" s="12"/>
      <c r="C29" s="12"/>
      <c r="D29" s="13"/>
      <c r="E29" s="13"/>
      <c r="F29" s="12"/>
      <c r="G29" s="12"/>
      <c r="H29" s="13"/>
      <c r="I29" s="12"/>
      <c r="J29" s="61"/>
      <c r="K29" s="13"/>
      <c r="L29" s="3"/>
      <c r="T29" s="19"/>
      <c r="AA29" s="19"/>
      <c r="AB29" s="19"/>
    </row>
    <row r="30" customFormat="false" ht="12.75" hidden="false" customHeight="false" outlineLevel="0" collapsed="false">
      <c r="A30" s="62" t="n">
        <v>36951</v>
      </c>
      <c r="B30" s="31" t="n">
        <v>2073170</v>
      </c>
      <c r="C30" s="31" t="n">
        <f aca="false">+B30</f>
        <v>2073170</v>
      </c>
      <c r="D30" s="26" t="n">
        <v>10581846.31</v>
      </c>
      <c r="E30" s="26" t="n">
        <v>-1825815</v>
      </c>
      <c r="F30" s="26" t="n">
        <f aca="false">+D30-E30</f>
        <v>12407661.31</v>
      </c>
      <c r="G30" s="28"/>
      <c r="H30" s="27" t="n">
        <f aca="false">+F30/B30</f>
        <v>5.98487403830848</v>
      </c>
      <c r="I30" s="26"/>
      <c r="J30" s="26"/>
      <c r="K30" s="31"/>
      <c r="L30" s="76"/>
      <c r="M30" s="50" t="n">
        <v>36951</v>
      </c>
      <c r="N30" s="0" t="n">
        <v>0</v>
      </c>
      <c r="O30" s="45" t="n">
        <f aca="false">+N30</f>
        <v>0</v>
      </c>
      <c r="P30" s="26" t="n">
        <v>0</v>
      </c>
      <c r="Q30" s="26" t="n">
        <v>0</v>
      </c>
      <c r="R30" s="26" t="n">
        <f aca="false">+P30-Q30</f>
        <v>0</v>
      </c>
      <c r="S30" s="27" t="n">
        <f aca="false">IF(R30&lt;&gt;0,+R30/N30,0)</f>
        <v>0</v>
      </c>
      <c r="U30" s="50" t="n">
        <v>36951</v>
      </c>
      <c r="V30" s="63" t="n">
        <f aca="false">+B30+N30</f>
        <v>2073170</v>
      </c>
      <c r="W30" s="63" t="n">
        <f aca="false">+V30</f>
        <v>2073170</v>
      </c>
      <c r="X30" s="26" t="n">
        <f aca="false">+D30+P30</f>
        <v>10581846.31</v>
      </c>
      <c r="Y30" s="26" t="n">
        <f aca="false">+E30+Q30</f>
        <v>-1825815</v>
      </c>
      <c r="Z30" s="26" t="n">
        <f aca="false">+F30+R30</f>
        <v>12407661.31</v>
      </c>
      <c r="AA30" s="27" t="n">
        <f aca="false">IF(Z30&lt;&gt;0,+Z30/V30,0)</f>
        <v>5.98487403830848</v>
      </c>
      <c r="AB30" s="27"/>
    </row>
    <row r="31" customFormat="false" ht="12.75" hidden="false" customHeight="false" outlineLevel="0" collapsed="false">
      <c r="A31" s="62" t="n">
        <v>36982</v>
      </c>
      <c r="B31" s="31" t="n">
        <v>1286773</v>
      </c>
      <c r="C31" s="31" t="n">
        <f aca="false">+C30+B31</f>
        <v>3359943</v>
      </c>
      <c r="D31" s="26" t="n">
        <v>6669422.76</v>
      </c>
      <c r="E31" s="26" t="n">
        <v>-549320</v>
      </c>
      <c r="F31" s="26" t="n">
        <f aca="false">+D31-E31</f>
        <v>7218742.76</v>
      </c>
      <c r="G31" s="28"/>
      <c r="H31" s="27" t="n">
        <f aca="false">+F31/B31</f>
        <v>5.60995821329792</v>
      </c>
      <c r="I31" s="26"/>
      <c r="J31" s="26"/>
      <c r="K31" s="31"/>
      <c r="L31" s="76"/>
      <c r="M31" s="50" t="n">
        <v>36982</v>
      </c>
      <c r="N31" s="0" t="n">
        <v>0</v>
      </c>
      <c r="O31" s="45" t="n">
        <f aca="false">+O30+N31</f>
        <v>0</v>
      </c>
      <c r="P31" s="26" t="n">
        <v>0</v>
      </c>
      <c r="Q31" s="26" t="n">
        <v>0</v>
      </c>
      <c r="R31" s="26" t="n">
        <f aca="false">+P31-Q31</f>
        <v>0</v>
      </c>
      <c r="S31" s="27" t="n">
        <f aca="false">IF(R31&lt;&gt;0,+R31/N31,0)</f>
        <v>0</v>
      </c>
      <c r="U31" s="50" t="n">
        <v>36982</v>
      </c>
      <c r="V31" s="63" t="n">
        <f aca="false">+B31+N31</f>
        <v>1286773</v>
      </c>
      <c r="W31" s="63" t="n">
        <f aca="false">+W30+V31</f>
        <v>3359943</v>
      </c>
      <c r="X31" s="26" t="n">
        <f aca="false">+D31+P31</f>
        <v>6669422.76</v>
      </c>
      <c r="Y31" s="26" t="n">
        <f aca="false">+E31+Q31</f>
        <v>-549320</v>
      </c>
      <c r="Z31" s="26" t="n">
        <f aca="false">+F31+R31</f>
        <v>7218742.76</v>
      </c>
      <c r="AA31" s="27" t="n">
        <f aca="false">IF(Z31&lt;&gt;0,+Z31/V31,0)</f>
        <v>5.60995821329792</v>
      </c>
      <c r="AB31" s="27"/>
    </row>
    <row r="32" customFormat="false" ht="12.75" hidden="false" customHeight="false" outlineLevel="0" collapsed="false">
      <c r="A32" s="62" t="n">
        <v>37012</v>
      </c>
      <c r="B32" s="31" t="n">
        <v>2067464</v>
      </c>
      <c r="C32" s="31" t="n">
        <f aca="false">+C31+B32</f>
        <v>5427407</v>
      </c>
      <c r="D32" s="26" t="n">
        <v>9337402.39</v>
      </c>
      <c r="E32" s="26" t="n">
        <v>-4669574</v>
      </c>
      <c r="F32" s="26" t="n">
        <f aca="false">+D32-E32</f>
        <v>14006976.39</v>
      </c>
      <c r="G32" s="28"/>
      <c r="H32" s="27" t="n">
        <f aca="false">+F32/B32</f>
        <v>6.77495539946524</v>
      </c>
      <c r="I32" s="26"/>
      <c r="J32" s="26"/>
      <c r="K32" s="31"/>
      <c r="L32" s="76"/>
      <c r="M32" s="50" t="n">
        <v>37012</v>
      </c>
      <c r="N32" s="0" t="n">
        <v>0</v>
      </c>
      <c r="O32" s="45" t="n">
        <f aca="false">+O31+N32</f>
        <v>0</v>
      </c>
      <c r="P32" s="26" t="n">
        <v>0</v>
      </c>
      <c r="Q32" s="26" t="n">
        <v>0</v>
      </c>
      <c r="R32" s="26" t="n">
        <f aca="false">+P32-Q32</f>
        <v>0</v>
      </c>
      <c r="S32" s="27" t="n">
        <f aca="false">IF(R32&lt;&gt;0,+R32/N32,0)</f>
        <v>0</v>
      </c>
      <c r="U32" s="50" t="n">
        <v>37012</v>
      </c>
      <c r="V32" s="63" t="n">
        <f aca="false">+B32+N32</f>
        <v>2067464</v>
      </c>
      <c r="W32" s="63" t="n">
        <f aca="false">+W31+V32</f>
        <v>5427407</v>
      </c>
      <c r="X32" s="26" t="n">
        <f aca="false">+D32+P32</f>
        <v>9337402.39</v>
      </c>
      <c r="Y32" s="26" t="n">
        <f aca="false">+E32+Q32</f>
        <v>-4669574</v>
      </c>
      <c r="Z32" s="26" t="n">
        <f aca="false">+F32+R32</f>
        <v>14006976.39</v>
      </c>
      <c r="AA32" s="27" t="n">
        <f aca="false">IF(Z32&lt;&gt;0,+Z32/V32,0)</f>
        <v>6.77495539946524</v>
      </c>
      <c r="AB32" s="27"/>
    </row>
    <row r="33" customFormat="false" ht="12.75" hidden="false" customHeight="false" outlineLevel="0" collapsed="false">
      <c r="A33" s="62" t="n">
        <v>37043</v>
      </c>
      <c r="B33" s="31" t="n">
        <v>2867180</v>
      </c>
      <c r="C33" s="31" t="n">
        <f aca="false">+C32+B33</f>
        <v>8294587</v>
      </c>
      <c r="D33" s="26" t="n">
        <v>10230649.33</v>
      </c>
      <c r="E33" s="26" t="n">
        <v>-9993689</v>
      </c>
      <c r="F33" s="26" t="n">
        <f aca="false">+D33-E33</f>
        <v>20224338.33</v>
      </c>
      <c r="G33" s="28"/>
      <c r="H33" s="27" t="n">
        <f aca="false">+F33/B33</f>
        <v>7.05373863168688</v>
      </c>
      <c r="I33" s="26"/>
      <c r="J33" s="26"/>
      <c r="K33" s="31"/>
      <c r="L33" s="76"/>
      <c r="M33" s="50" t="n">
        <v>37043</v>
      </c>
      <c r="N33" s="0" t="n">
        <v>0</v>
      </c>
      <c r="O33" s="45" t="n">
        <f aca="false">+O32+N33</f>
        <v>0</v>
      </c>
      <c r="P33" s="26" t="n">
        <v>0</v>
      </c>
      <c r="Q33" s="26" t="n">
        <v>0</v>
      </c>
      <c r="R33" s="26" t="n">
        <f aca="false">+P33-Q33</f>
        <v>0</v>
      </c>
      <c r="S33" s="27" t="n">
        <f aca="false">IF(R33&lt;&gt;0,+R33/N33,0)</f>
        <v>0</v>
      </c>
      <c r="U33" s="50" t="n">
        <v>37043</v>
      </c>
      <c r="V33" s="63" t="n">
        <f aca="false">+B33+N33</f>
        <v>2867180</v>
      </c>
      <c r="W33" s="63" t="n">
        <f aca="false">+W32+V33</f>
        <v>8294587</v>
      </c>
      <c r="X33" s="26" t="n">
        <f aca="false">+D33+P33</f>
        <v>10230649.33</v>
      </c>
      <c r="Y33" s="26" t="n">
        <f aca="false">+E33+Q33</f>
        <v>-9993689</v>
      </c>
      <c r="Z33" s="26" t="n">
        <f aca="false">+F33+R33</f>
        <v>20224338.33</v>
      </c>
      <c r="AA33" s="27" t="n">
        <f aca="false">IF(Z33&lt;&gt;0,+Z33/V33,0)</f>
        <v>7.05373863168688</v>
      </c>
      <c r="AB33" s="27"/>
    </row>
    <row r="34" customFormat="false" ht="12.75" hidden="false" customHeight="false" outlineLevel="0" collapsed="false">
      <c r="A34" s="50" t="n">
        <v>37073</v>
      </c>
      <c r="B34" s="31" t="n">
        <v>2222664</v>
      </c>
      <c r="C34" s="31" t="n">
        <f aca="false">+C33+B34</f>
        <v>10517251</v>
      </c>
      <c r="D34" s="26" t="n">
        <v>6710518.06</v>
      </c>
      <c r="E34" s="26" t="n">
        <v>-8436494</v>
      </c>
      <c r="F34" s="26" t="n">
        <f aca="false">+D34-E34</f>
        <v>15147012.06</v>
      </c>
      <c r="G34" s="28"/>
      <c r="H34" s="27" t="n">
        <f aca="false">+F34/B34</f>
        <v>6.81480064463185</v>
      </c>
      <c r="I34" s="26"/>
      <c r="J34" s="26"/>
      <c r="K34" s="31"/>
      <c r="L34" s="76"/>
      <c r="M34" s="50" t="n">
        <v>37073</v>
      </c>
      <c r="N34" s="0" t="n">
        <v>0</v>
      </c>
      <c r="O34" s="45" t="n">
        <f aca="false">+O33+N34</f>
        <v>0</v>
      </c>
      <c r="P34" s="26" t="n">
        <v>0</v>
      </c>
      <c r="Q34" s="26" t="n">
        <v>0</v>
      </c>
      <c r="R34" s="26" t="n">
        <f aca="false">+P34-Q34</f>
        <v>0</v>
      </c>
      <c r="S34" s="27" t="n">
        <f aca="false">IF(R34&lt;&gt;0,+R34/N34,0)</f>
        <v>0</v>
      </c>
      <c r="U34" s="50" t="n">
        <v>37073</v>
      </c>
      <c r="V34" s="63" t="n">
        <f aca="false">+B34+N34</f>
        <v>2222664</v>
      </c>
      <c r="W34" s="63" t="n">
        <f aca="false">+W33+V34</f>
        <v>10517251</v>
      </c>
      <c r="X34" s="26" t="n">
        <f aca="false">+D34+P34</f>
        <v>6710518.06</v>
      </c>
      <c r="Y34" s="26" t="n">
        <f aca="false">+E34+Q34</f>
        <v>-8436494</v>
      </c>
      <c r="Z34" s="26" t="n">
        <f aca="false">+F34+R34</f>
        <v>15147012.06</v>
      </c>
      <c r="AA34" s="27" t="n">
        <f aca="false">IF(Z34&lt;&gt;0,+Z34/V34,0)</f>
        <v>6.81480064463185</v>
      </c>
      <c r="AB34" s="27"/>
    </row>
    <row r="35" customFormat="false" ht="12.75" hidden="false" customHeight="false" outlineLevel="0" collapsed="false">
      <c r="A35" s="50" t="n">
        <v>37104</v>
      </c>
      <c r="B35" s="31" t="n">
        <v>1072780</v>
      </c>
      <c r="C35" s="31" t="n">
        <f aca="false">+C34+B35</f>
        <v>11590031</v>
      </c>
      <c r="D35" s="26" t="n">
        <v>3120262.47</v>
      </c>
      <c r="E35" s="26" t="n">
        <v>-4952828</v>
      </c>
      <c r="F35" s="26" t="n">
        <f aca="false">+D35-E35</f>
        <v>8073090.47</v>
      </c>
      <c r="G35" s="28"/>
      <c r="H35" s="27" t="n">
        <f aca="false">+F35/B35</f>
        <v>7.52539241037305</v>
      </c>
      <c r="I35" s="26"/>
      <c r="J35" s="26"/>
      <c r="K35" s="31"/>
      <c r="L35" s="76"/>
      <c r="M35" s="50" t="n">
        <v>37104</v>
      </c>
      <c r="N35" s="0" t="n">
        <v>0</v>
      </c>
      <c r="O35" s="45" t="n">
        <f aca="false">+O34+N35</f>
        <v>0</v>
      </c>
      <c r="P35" s="26" t="n">
        <v>0</v>
      </c>
      <c r="Q35" s="26" t="n">
        <v>0</v>
      </c>
      <c r="R35" s="26" t="n">
        <f aca="false">+P35-Q35</f>
        <v>0</v>
      </c>
      <c r="S35" s="27" t="n">
        <f aca="false">IF(R35&lt;&gt;0,+R35/N35,0)</f>
        <v>0</v>
      </c>
      <c r="U35" s="50" t="n">
        <v>37104</v>
      </c>
      <c r="V35" s="63" t="n">
        <f aca="false">+B35+N35</f>
        <v>1072780</v>
      </c>
      <c r="W35" s="63" t="n">
        <f aca="false">+W34+V35</f>
        <v>11590031</v>
      </c>
      <c r="X35" s="26" t="n">
        <f aca="false">+D35+P35</f>
        <v>3120262.47</v>
      </c>
      <c r="Y35" s="26" t="n">
        <f aca="false">+E35+Q35</f>
        <v>-4952828</v>
      </c>
      <c r="Z35" s="26" t="n">
        <f aca="false">+F35+R35</f>
        <v>8073090.47</v>
      </c>
      <c r="AA35" s="27" t="n">
        <f aca="false">IF(Z35&lt;&gt;0,+Z35/V35,0)</f>
        <v>7.52539241037305</v>
      </c>
      <c r="AB35" s="27"/>
    </row>
    <row r="36" customFormat="false" ht="12.75" hidden="false" customHeight="false" outlineLevel="0" collapsed="false">
      <c r="A36" s="50" t="n">
        <v>37135</v>
      </c>
      <c r="B36" s="31" t="n">
        <v>1049348</v>
      </c>
      <c r="C36" s="31" t="n">
        <f aca="false">+C35+B36</f>
        <v>12639379</v>
      </c>
      <c r="D36" s="26" t="n">
        <v>2380340.68</v>
      </c>
      <c r="E36" s="26" t="n">
        <v>-3882403</v>
      </c>
      <c r="F36" s="26" t="n">
        <f aca="false">+D36-E36</f>
        <v>6262743.68</v>
      </c>
      <c r="G36" s="28"/>
      <c r="H36" s="27" t="n">
        <f aca="false">+F36/B36</f>
        <v>5.96822377323824</v>
      </c>
      <c r="I36" s="26"/>
      <c r="J36" s="65"/>
      <c r="K36" s="31"/>
      <c r="L36" s="76"/>
      <c r="M36" s="50" t="n">
        <v>37135</v>
      </c>
      <c r="N36" s="0" t="n">
        <v>0</v>
      </c>
      <c r="O36" s="45" t="n">
        <f aca="false">+O35+N36</f>
        <v>0</v>
      </c>
      <c r="P36" s="26" t="n">
        <v>0</v>
      </c>
      <c r="Q36" s="26" t="n">
        <v>0</v>
      </c>
      <c r="R36" s="26" t="n">
        <f aca="false">+P36-Q36</f>
        <v>0</v>
      </c>
      <c r="S36" s="27" t="n">
        <f aca="false">IF(R36&lt;&gt;0,+R36/N36,0)</f>
        <v>0</v>
      </c>
      <c r="U36" s="50" t="n">
        <v>37135</v>
      </c>
      <c r="V36" s="63" t="n">
        <f aca="false">+B36+N36</f>
        <v>1049348</v>
      </c>
      <c r="W36" s="63" t="n">
        <f aca="false">+W35+V36</f>
        <v>12639379</v>
      </c>
      <c r="X36" s="26" t="n">
        <f aca="false">+D36+P36</f>
        <v>2380340.68</v>
      </c>
      <c r="Y36" s="26" t="n">
        <f aca="false">+E36+Q36</f>
        <v>-3882403</v>
      </c>
      <c r="Z36" s="26" t="n">
        <f aca="false">+F36+R36</f>
        <v>6262743.68</v>
      </c>
      <c r="AA36" s="27" t="n">
        <f aca="false">IF(Z36&lt;&gt;0,+Z36/V36,0)</f>
        <v>5.96822377323824</v>
      </c>
      <c r="AB36" s="27"/>
    </row>
    <row r="37" customFormat="false" ht="12.75" hidden="false" customHeight="false" outlineLevel="0" collapsed="false">
      <c r="A37" s="50" t="n">
        <v>37165</v>
      </c>
      <c r="B37" s="31"/>
      <c r="C37" s="31"/>
      <c r="D37" s="26"/>
      <c r="E37" s="64" t="n">
        <v>-4647960</v>
      </c>
      <c r="F37" s="26" t="n">
        <f aca="false">+D37-E37</f>
        <v>4647960</v>
      </c>
      <c r="G37" s="28"/>
      <c r="H37" s="27" t="e">
        <f aca="false">+F37/B37</f>
        <v>#DIV/0!</v>
      </c>
      <c r="I37" s="26"/>
      <c r="J37" s="26"/>
      <c r="K37" s="26"/>
      <c r="L37" s="3"/>
      <c r="M37" s="50" t="n">
        <v>37165</v>
      </c>
      <c r="N37" s="0" t="n">
        <v>0</v>
      </c>
      <c r="O37" s="45" t="n">
        <f aca="false">+O36+N37</f>
        <v>0</v>
      </c>
      <c r="P37" s="26" t="n">
        <v>0</v>
      </c>
      <c r="Q37" s="64" t="n">
        <v>0</v>
      </c>
      <c r="R37" s="26" t="n">
        <f aca="false">+P37-Q37</f>
        <v>0</v>
      </c>
      <c r="S37" s="27" t="n">
        <f aca="false">IF(R37&lt;&gt;0,+R37/N37,0)</f>
        <v>0</v>
      </c>
      <c r="U37" s="50" t="n">
        <v>37165</v>
      </c>
      <c r="V37" s="63" t="n">
        <f aca="false">+B37+N37</f>
        <v>0</v>
      </c>
      <c r="W37" s="63" t="n">
        <f aca="false">+W36+V37</f>
        <v>12639379</v>
      </c>
      <c r="X37" s="26" t="n">
        <f aca="false">+D37+P37</f>
        <v>0</v>
      </c>
      <c r="Y37" s="26" t="n">
        <f aca="false">+E37+Q37</f>
        <v>-4647960</v>
      </c>
      <c r="Z37" s="26" t="n">
        <f aca="false">+F37+R37</f>
        <v>4647960</v>
      </c>
      <c r="AA37" s="27" t="e">
        <f aca="false">IF(Z37&lt;&gt;0,+Z37/V37,0)</f>
        <v>#DIV/0!</v>
      </c>
      <c r="AB37" s="27"/>
    </row>
    <row r="38" customFormat="false" ht="12.75" hidden="false" customHeight="false" outlineLevel="0" collapsed="false">
      <c r="A38" s="50" t="n">
        <v>37196</v>
      </c>
      <c r="B38" s="44" t="n">
        <f aca="false">+C38-C37</f>
        <v>12387356</v>
      </c>
      <c r="C38" s="31" t="n">
        <v>12387356</v>
      </c>
      <c r="D38" s="26"/>
      <c r="E38" s="64" t="n">
        <v>5442416</v>
      </c>
      <c r="F38" s="26" t="n">
        <f aca="false">+D38-E38</f>
        <v>-5442416</v>
      </c>
      <c r="G38" s="28"/>
      <c r="H38" s="27" t="n">
        <f aca="false">+F38/B38</f>
        <v>-0.439352513966661</v>
      </c>
      <c r="I38" s="26"/>
      <c r="J38" s="26"/>
      <c r="K38" s="26"/>
      <c r="L38" s="26"/>
      <c r="M38" s="50" t="n">
        <v>37196</v>
      </c>
      <c r="N38" s="45" t="n">
        <v>2750000</v>
      </c>
      <c r="O38" s="45" t="n">
        <f aca="false">+O37+N38</f>
        <v>2750000</v>
      </c>
      <c r="P38" s="26"/>
      <c r="Q38" s="64" t="n">
        <v>-7432334</v>
      </c>
      <c r="R38" s="26" t="n">
        <f aca="false">+P38-Q38</f>
        <v>7432334</v>
      </c>
      <c r="S38" s="27" t="n">
        <f aca="false">IF(R38&lt;&gt;0,+R38/N38,0)</f>
        <v>2.70266690909091</v>
      </c>
      <c r="T38" s="28"/>
      <c r="U38" s="50" t="n">
        <v>37196</v>
      </c>
      <c r="V38" s="63" t="n">
        <f aca="false">+B38+N38</f>
        <v>15137356</v>
      </c>
      <c r="W38" s="63" t="n">
        <f aca="false">+W37+V38</f>
        <v>27776735</v>
      </c>
      <c r="X38" s="26" t="n">
        <f aca="false">+D38+P38</f>
        <v>0</v>
      </c>
      <c r="Y38" s="26" t="n">
        <f aca="false">+E38+Q38</f>
        <v>-1989918</v>
      </c>
      <c r="Z38" s="26" t="n">
        <f aca="false">+F38+R38</f>
        <v>1989918</v>
      </c>
      <c r="AA38" s="27" t="n">
        <f aca="false">IF(Z38&lt;&gt;0,+Z38/V38,0)</f>
        <v>0.131457435499304</v>
      </c>
      <c r="AB38" s="27"/>
    </row>
    <row r="39" customFormat="false" ht="12.75" hidden="false" customHeight="false" outlineLevel="0" collapsed="false">
      <c r="A39" s="50" t="n">
        <v>37226</v>
      </c>
      <c r="B39" s="44" t="n">
        <f aca="false">+C39-C38</f>
        <v>-4920003</v>
      </c>
      <c r="C39" s="31" t="n">
        <v>7467353</v>
      </c>
      <c r="D39" s="26"/>
      <c r="E39" s="64" t="n">
        <v>15696427</v>
      </c>
      <c r="F39" s="26" t="n">
        <f aca="false">+D39-E39</f>
        <v>-15696427</v>
      </c>
      <c r="G39" s="28"/>
      <c r="H39" s="27" t="n">
        <f aca="false">+F39/B39</f>
        <v>3.1903287457345</v>
      </c>
      <c r="I39" s="26"/>
      <c r="J39" s="26"/>
      <c r="K39" s="26"/>
      <c r="L39" s="26"/>
      <c r="M39" s="50" t="n">
        <v>37226</v>
      </c>
      <c r="N39" s="45" t="n">
        <v>1000000</v>
      </c>
      <c r="O39" s="45" t="n">
        <f aca="false">+O38+N39</f>
        <v>3750000</v>
      </c>
      <c r="P39" s="26"/>
      <c r="Q39" s="64" t="n">
        <v>-2905062</v>
      </c>
      <c r="R39" s="26" t="n">
        <f aca="false">+P39-Q39</f>
        <v>2905062</v>
      </c>
      <c r="S39" s="27" t="n">
        <f aca="false">IF(R39&lt;&gt;0,+R39/N39,0)</f>
        <v>2.905062</v>
      </c>
      <c r="T39" s="28"/>
      <c r="U39" s="50" t="n">
        <v>37226</v>
      </c>
      <c r="V39" s="63" t="n">
        <f aca="false">+B39+N39</f>
        <v>-3920003</v>
      </c>
      <c r="W39" s="63" t="n">
        <f aca="false">+W38+V39</f>
        <v>23856732</v>
      </c>
      <c r="X39" s="26" t="n">
        <f aca="false">+D39+P39</f>
        <v>0</v>
      </c>
      <c r="Y39" s="26" t="n">
        <f aca="false">+E39+Q39</f>
        <v>12791365</v>
      </c>
      <c r="Z39" s="26" t="n">
        <f aca="false">+F39+R39</f>
        <v>-12791365</v>
      </c>
      <c r="AA39" s="27" t="n">
        <f aca="false">IF(Z39&lt;&gt;0,+Z39/V39,0)</f>
        <v>3.2631008190555</v>
      </c>
      <c r="AB39" s="27"/>
    </row>
    <row r="40" customFormat="false" ht="12.75" hidden="false" customHeight="false" outlineLevel="0" collapsed="false">
      <c r="A40" s="50" t="n">
        <v>37257</v>
      </c>
      <c r="B40" s="44" t="n">
        <f aca="false">+C40-C39</f>
        <v>-2162337</v>
      </c>
      <c r="C40" s="31" t="n">
        <v>5305016</v>
      </c>
      <c r="D40" s="26"/>
      <c r="E40" s="64" t="n">
        <v>8143603</v>
      </c>
      <c r="F40" s="26" t="n">
        <f aca="false">+D40-E40</f>
        <v>-8143603</v>
      </c>
      <c r="G40" s="28"/>
      <c r="H40" s="27" t="n">
        <f aca="false">+F40/B40</f>
        <v>3.76611185028051</v>
      </c>
      <c r="I40" s="26"/>
      <c r="J40" s="26"/>
      <c r="K40" s="26"/>
      <c r="L40" s="26"/>
      <c r="M40" s="50" t="n">
        <v>37257</v>
      </c>
      <c r="N40" s="45"/>
      <c r="O40" s="45" t="n">
        <f aca="false">+O39+N40</f>
        <v>3750000</v>
      </c>
      <c r="P40" s="26"/>
      <c r="Q40" s="64"/>
      <c r="R40" s="26" t="n">
        <f aca="false">+P40-Q40</f>
        <v>0</v>
      </c>
      <c r="S40" s="27" t="n">
        <f aca="false">IF(R40&lt;&gt;0,+R40/N40,0)</f>
        <v>0</v>
      </c>
      <c r="T40" s="28"/>
      <c r="U40" s="50" t="n">
        <v>37257</v>
      </c>
      <c r="V40" s="63" t="n">
        <f aca="false">+B40+N40</f>
        <v>-2162337</v>
      </c>
      <c r="W40" s="63" t="n">
        <f aca="false">+W39+V40</f>
        <v>21694395</v>
      </c>
      <c r="X40" s="26" t="n">
        <f aca="false">+D40+P40</f>
        <v>0</v>
      </c>
      <c r="Y40" s="26" t="n">
        <f aca="false">+E40+Q40</f>
        <v>8143603</v>
      </c>
      <c r="Z40" s="26" t="n">
        <f aca="false">+F40+R40</f>
        <v>-8143603</v>
      </c>
      <c r="AA40" s="27" t="n">
        <f aca="false">IF(Z40&lt;&gt;0,+Z40/V40,0)</f>
        <v>3.76611185028051</v>
      </c>
      <c r="AB40" s="27"/>
    </row>
    <row r="41" customFormat="false" ht="12.75" hidden="false" customHeight="false" outlineLevel="0" collapsed="false">
      <c r="A41" s="50" t="n">
        <v>37288</v>
      </c>
      <c r="B41" s="44" t="n">
        <f aca="false">+C41-C40</f>
        <v>-2002604</v>
      </c>
      <c r="C41" s="31" t="n">
        <v>3302412</v>
      </c>
      <c r="D41" s="26"/>
      <c r="E41" s="64" t="n">
        <v>12654526</v>
      </c>
      <c r="F41" s="26" t="n">
        <f aca="false">+D41-E41</f>
        <v>-12654526</v>
      </c>
      <c r="G41" s="28"/>
      <c r="H41" s="27" t="n">
        <f aca="false">+F41/B41</f>
        <v>6.31903561562845</v>
      </c>
      <c r="I41" s="26"/>
      <c r="J41" s="26"/>
      <c r="K41" s="26"/>
      <c r="L41" s="26"/>
      <c r="M41" s="50" t="n">
        <v>37288</v>
      </c>
      <c r="N41" s="45"/>
      <c r="O41" s="45" t="n">
        <f aca="false">+O40+N41</f>
        <v>3750000</v>
      </c>
      <c r="P41" s="26"/>
      <c r="Q41" s="64"/>
      <c r="R41" s="26" t="n">
        <f aca="false">+P41-Q41</f>
        <v>0</v>
      </c>
      <c r="S41" s="27" t="n">
        <f aca="false">IF(R41&lt;&gt;0,+R41/N41,0)</f>
        <v>0</v>
      </c>
      <c r="T41" s="28"/>
      <c r="U41" s="50" t="n">
        <v>37288</v>
      </c>
      <c r="V41" s="63" t="n">
        <f aca="false">+B41+N41</f>
        <v>-2002604</v>
      </c>
      <c r="W41" s="63" t="n">
        <f aca="false">+W40+V41</f>
        <v>19691791</v>
      </c>
      <c r="X41" s="26" t="n">
        <f aca="false">+D41+P41</f>
        <v>0</v>
      </c>
      <c r="Y41" s="26" t="n">
        <f aca="false">+E41+Q41</f>
        <v>12654526</v>
      </c>
      <c r="Z41" s="26" t="n">
        <f aca="false">+F41+R41</f>
        <v>-12654526</v>
      </c>
      <c r="AA41" s="27" t="n">
        <f aca="false">IF(Z41&lt;&gt;0,+Z41/V41,0)</f>
        <v>6.31903561562845</v>
      </c>
      <c r="AB41" s="27"/>
    </row>
    <row r="42" customFormat="false" ht="12.75" hidden="false" customHeight="false" outlineLevel="0" collapsed="false">
      <c r="A42" s="50" t="n">
        <v>37316</v>
      </c>
      <c r="B42" s="44" t="n">
        <f aca="false">+C42-C41</f>
        <v>-3302412</v>
      </c>
      <c r="C42" s="31" t="n">
        <v>0</v>
      </c>
      <c r="D42" s="26"/>
      <c r="E42" s="64" t="n">
        <v>18471386</v>
      </c>
      <c r="F42" s="26" t="n">
        <f aca="false">+D42-E42</f>
        <v>-18471386</v>
      </c>
      <c r="G42" s="28"/>
      <c r="H42" s="27" t="n">
        <f aca="false">+F42/B42</f>
        <v>5.59330150205365</v>
      </c>
      <c r="I42" s="26"/>
      <c r="J42" s="26"/>
      <c r="K42" s="26"/>
      <c r="L42" s="26"/>
      <c r="M42" s="50" t="n">
        <v>37316</v>
      </c>
      <c r="N42" s="45"/>
      <c r="O42" s="45" t="n">
        <f aca="false">+O41+N42</f>
        <v>3750000</v>
      </c>
      <c r="P42" s="26"/>
      <c r="Q42" s="64"/>
      <c r="R42" s="26" t="n">
        <f aca="false">+P42-Q42</f>
        <v>0</v>
      </c>
      <c r="S42" s="27" t="n">
        <f aca="false">IF(R42&lt;&gt;0,+R42/N42,0)</f>
        <v>0</v>
      </c>
      <c r="T42" s="28"/>
      <c r="U42" s="50" t="n">
        <v>37316</v>
      </c>
      <c r="V42" s="63" t="n">
        <f aca="false">+B42+N42</f>
        <v>-3302412</v>
      </c>
      <c r="W42" s="63" t="n">
        <f aca="false">+W41+V42</f>
        <v>16389379</v>
      </c>
      <c r="X42" s="26" t="n">
        <f aca="false">+D42+P42</f>
        <v>0</v>
      </c>
      <c r="Y42" s="26" t="n">
        <f aca="false">+E42+Q42</f>
        <v>18471386</v>
      </c>
      <c r="Z42" s="26" t="n">
        <f aca="false">+F42+R42</f>
        <v>-18471386</v>
      </c>
      <c r="AA42" s="27" t="n">
        <f aca="false">IF(Z42&lt;&gt;0,+Z42/V42,0)</f>
        <v>5.59330150205365</v>
      </c>
      <c r="AB42" s="27"/>
    </row>
    <row r="43" customFormat="false" ht="12.75" hidden="false" customHeight="false" outlineLevel="0" collapsed="false">
      <c r="A43" s="50" t="n">
        <v>37347</v>
      </c>
      <c r="B43" s="44" t="n">
        <v>0</v>
      </c>
      <c r="C43" s="31" t="n">
        <v>0</v>
      </c>
      <c r="D43" s="26"/>
      <c r="E43" s="26"/>
      <c r="F43" s="26"/>
      <c r="G43" s="28"/>
      <c r="H43" s="27"/>
      <c r="I43" s="28"/>
      <c r="J43" s="26"/>
      <c r="K43" s="26"/>
      <c r="L43" s="26"/>
      <c r="M43" s="50" t="n">
        <v>37347</v>
      </c>
      <c r="N43" s="45" t="n">
        <v>2000000</v>
      </c>
      <c r="O43" s="45" t="n">
        <f aca="false">+O42+N43</f>
        <v>5750000</v>
      </c>
      <c r="P43" s="26"/>
      <c r="Q43" s="64" t="n">
        <v>-6596622</v>
      </c>
      <c r="R43" s="26" t="n">
        <f aca="false">+P43-Q43</f>
        <v>6596622</v>
      </c>
      <c r="S43" s="27" t="n">
        <f aca="false">IF(R43&lt;&gt;0,+R43/N43,0)</f>
        <v>3.298311</v>
      </c>
      <c r="T43" s="28"/>
      <c r="U43" s="50" t="n">
        <v>37347</v>
      </c>
      <c r="V43" s="63" t="n">
        <f aca="false">+B43+N43</f>
        <v>2000000</v>
      </c>
      <c r="W43" s="63" t="n">
        <f aca="false">+W42+V43</f>
        <v>18389379</v>
      </c>
      <c r="X43" s="26" t="n">
        <f aca="false">+D43+P43</f>
        <v>0</v>
      </c>
      <c r="Y43" s="26" t="n">
        <f aca="false">+E43+Q43</f>
        <v>-6596622</v>
      </c>
      <c r="Z43" s="26" t="n">
        <f aca="false">+F43+R43</f>
        <v>6596622</v>
      </c>
      <c r="AA43" s="27" t="n">
        <f aca="false">IF(Z43&lt;&gt;0,+Z43/V43,0)</f>
        <v>3.298311</v>
      </c>
      <c r="AB43" s="27"/>
    </row>
    <row r="44" customFormat="false" ht="12.75" hidden="false" customHeight="false" outlineLevel="0" collapsed="false">
      <c r="A44" s="50" t="n">
        <v>37377</v>
      </c>
      <c r="B44" s="44" t="n">
        <v>0</v>
      </c>
      <c r="C44" s="31" t="n">
        <v>0</v>
      </c>
      <c r="D44" s="26"/>
      <c r="E44" s="26"/>
      <c r="F44" s="26"/>
      <c r="G44" s="28"/>
      <c r="H44" s="27"/>
      <c r="I44" s="65"/>
      <c r="J44" s="65"/>
      <c r="K44" s="65"/>
      <c r="L44" s="26"/>
      <c r="M44" s="50" t="n">
        <v>37377</v>
      </c>
      <c r="N44" s="45" t="n">
        <v>2000000</v>
      </c>
      <c r="O44" s="45" t="n">
        <f aca="false">+O43+N44</f>
        <v>7750000</v>
      </c>
      <c r="P44" s="65"/>
      <c r="Q44" s="64" t="n">
        <v>-6598282</v>
      </c>
      <c r="R44" s="26" t="n">
        <f aca="false">+P44-Q44</f>
        <v>6598282</v>
      </c>
      <c r="S44" s="27" t="n">
        <f aca="false">IF(R44&lt;&gt;0,+R44/N44,0)</f>
        <v>3.299141</v>
      </c>
      <c r="T44" s="28"/>
      <c r="U44" s="50" t="n">
        <v>37377</v>
      </c>
      <c r="V44" s="63" t="n">
        <f aca="false">+B44+N44</f>
        <v>2000000</v>
      </c>
      <c r="W44" s="63" t="n">
        <f aca="false">+W43+V44</f>
        <v>20389379</v>
      </c>
      <c r="X44" s="26" t="n">
        <f aca="false">+D44+P44</f>
        <v>0</v>
      </c>
      <c r="Y44" s="26" t="n">
        <f aca="false">+E44+Q44</f>
        <v>-6598282</v>
      </c>
      <c r="Z44" s="26" t="n">
        <f aca="false">+F44+R44</f>
        <v>6598282</v>
      </c>
      <c r="AA44" s="27" t="n">
        <f aca="false">IF(Z44&lt;&gt;0,+Z44/V44,0)</f>
        <v>3.299141</v>
      </c>
      <c r="AB44" s="65"/>
    </row>
    <row r="45" customFormat="false" ht="12.75" hidden="false" customHeight="false" outlineLevel="0" collapsed="false">
      <c r="A45" s="50" t="n">
        <v>37408</v>
      </c>
      <c r="B45" s="44" t="n">
        <v>0</v>
      </c>
      <c r="C45" s="31" t="n">
        <v>0</v>
      </c>
      <c r="D45" s="26"/>
      <c r="E45" s="26"/>
      <c r="F45" s="26"/>
      <c r="G45" s="28"/>
      <c r="H45" s="27"/>
      <c r="I45" s="65"/>
      <c r="J45" s="65"/>
      <c r="K45" s="65"/>
      <c r="L45" s="26"/>
      <c r="M45" s="50" t="n">
        <v>37408</v>
      </c>
      <c r="N45" s="66" t="n">
        <v>1000000</v>
      </c>
      <c r="O45" s="45" t="n">
        <f aca="false">+O44+N45</f>
        <v>8750000</v>
      </c>
      <c r="P45" s="65"/>
      <c r="Q45" s="64" t="n">
        <v>-2727541</v>
      </c>
      <c r="R45" s="26" t="n">
        <f aca="false">+P45-Q45</f>
        <v>2727541</v>
      </c>
      <c r="S45" s="27" t="n">
        <f aca="false">IF(R45&lt;&gt;0,+R45/N45,0)</f>
        <v>2.727541</v>
      </c>
      <c r="T45" s="28"/>
      <c r="U45" s="50" t="n">
        <v>37408</v>
      </c>
      <c r="V45" s="63" t="n">
        <f aca="false">+B45+N45</f>
        <v>1000000</v>
      </c>
      <c r="W45" s="63" t="n">
        <f aca="false">+W44+V45</f>
        <v>21389379</v>
      </c>
      <c r="X45" s="26" t="n">
        <f aca="false">+D45+P45</f>
        <v>0</v>
      </c>
      <c r="Y45" s="26" t="n">
        <f aca="false">+E45+Q45</f>
        <v>-2727541</v>
      </c>
      <c r="Z45" s="26" t="n">
        <f aca="false">+F45+R45</f>
        <v>2727541</v>
      </c>
      <c r="AA45" s="27" t="n">
        <f aca="false">IF(Z45&lt;&gt;0,+Z45/V45,0)</f>
        <v>2.727541</v>
      </c>
      <c r="AB45" s="65"/>
    </row>
    <row r="46" customFormat="false" ht="12.75" hidden="false" customHeight="false" outlineLevel="0" collapsed="false">
      <c r="A46" s="50" t="n">
        <v>37438</v>
      </c>
      <c r="B46" s="44" t="n">
        <v>0</v>
      </c>
      <c r="C46" s="31" t="n">
        <v>0</v>
      </c>
      <c r="D46" s="26"/>
      <c r="E46" s="26"/>
      <c r="F46" s="26"/>
      <c r="G46" s="28"/>
      <c r="H46" s="27"/>
      <c r="I46" s="67"/>
      <c r="J46" s="67"/>
      <c r="K46" s="67"/>
      <c r="L46" s="26"/>
      <c r="M46" s="50" t="n">
        <v>37438</v>
      </c>
      <c r="N46" s="66"/>
      <c r="O46" s="45" t="n">
        <f aca="false">+O45+N46</f>
        <v>8750000</v>
      </c>
      <c r="P46" s="67"/>
      <c r="Q46" s="64"/>
      <c r="R46" s="26" t="n">
        <f aca="false">+P46-Q46</f>
        <v>0</v>
      </c>
      <c r="S46" s="27" t="n">
        <f aca="false">IF(R46&lt;&gt;0,+R46/N46,0)</f>
        <v>0</v>
      </c>
      <c r="T46" s="28"/>
      <c r="U46" s="50" t="n">
        <v>37438</v>
      </c>
      <c r="V46" s="63" t="n">
        <f aca="false">+B46+N46</f>
        <v>0</v>
      </c>
      <c r="W46" s="63" t="n">
        <f aca="false">+W45+V46</f>
        <v>21389379</v>
      </c>
      <c r="X46" s="26" t="n">
        <f aca="false">+D46+P46</f>
        <v>0</v>
      </c>
      <c r="Y46" s="26" t="n">
        <f aca="false">+E46+Q46</f>
        <v>0</v>
      </c>
      <c r="Z46" s="26" t="n">
        <f aca="false">+F46+R46</f>
        <v>0</v>
      </c>
      <c r="AA46" s="27" t="n">
        <f aca="false">IF(Z46&lt;&gt;0,+Z46/V46,0)</f>
        <v>0</v>
      </c>
      <c r="AB46" s="67"/>
    </row>
    <row r="47" customFormat="false" ht="12.75" hidden="false" customHeight="false" outlineLevel="0" collapsed="false">
      <c r="A47" s="50" t="n">
        <v>37469</v>
      </c>
      <c r="B47" s="44" t="n">
        <v>0</v>
      </c>
      <c r="C47" s="31" t="n">
        <v>0</v>
      </c>
      <c r="D47" s="26"/>
      <c r="E47" s="26"/>
      <c r="F47" s="26"/>
      <c r="G47" s="28"/>
      <c r="H47" s="27"/>
      <c r="I47" s="67"/>
      <c r="J47" s="67"/>
      <c r="K47" s="67"/>
      <c r="L47" s="26"/>
      <c r="M47" s="50" t="n">
        <v>37469</v>
      </c>
      <c r="N47" s="66"/>
      <c r="O47" s="45" t="n">
        <f aca="false">+O46+N47</f>
        <v>8750000</v>
      </c>
      <c r="P47" s="67"/>
      <c r="Q47" s="64"/>
      <c r="R47" s="26" t="n">
        <f aca="false">+P47-Q47</f>
        <v>0</v>
      </c>
      <c r="S47" s="27" t="n">
        <f aca="false">IF(R47&lt;&gt;0,+R47/N47,0)</f>
        <v>0</v>
      </c>
      <c r="T47" s="28"/>
      <c r="U47" s="50" t="n">
        <v>37469</v>
      </c>
      <c r="V47" s="63" t="n">
        <f aca="false">+B47+N47</f>
        <v>0</v>
      </c>
      <c r="W47" s="63" t="n">
        <f aca="false">+W46+V47</f>
        <v>21389379</v>
      </c>
      <c r="X47" s="26" t="n">
        <f aca="false">+D47+P47</f>
        <v>0</v>
      </c>
      <c r="Y47" s="26" t="n">
        <f aca="false">+E47+Q47</f>
        <v>0</v>
      </c>
      <c r="Z47" s="26" t="n">
        <f aca="false">+F47+R47</f>
        <v>0</v>
      </c>
      <c r="AA47" s="27" t="n">
        <f aca="false">IF(Z47&lt;&gt;0,+Z47/V47,0)</f>
        <v>0</v>
      </c>
      <c r="AB47" s="67"/>
    </row>
    <row r="48" customFormat="false" ht="12.75" hidden="false" customHeight="false" outlineLevel="0" collapsed="false">
      <c r="A48" s="50" t="n">
        <v>37500</v>
      </c>
      <c r="B48" s="44" t="n">
        <v>0</v>
      </c>
      <c r="C48" s="31" t="n">
        <v>0</v>
      </c>
      <c r="D48" s="26"/>
      <c r="E48" s="26"/>
      <c r="F48" s="26"/>
      <c r="G48" s="28"/>
      <c r="H48" s="27"/>
      <c r="I48" s="67"/>
      <c r="J48" s="68"/>
      <c r="K48" s="67"/>
      <c r="L48" s="26"/>
      <c r="M48" s="50" t="n">
        <v>37500</v>
      </c>
      <c r="N48" s="66" t="n">
        <v>-1000000</v>
      </c>
      <c r="O48" s="45" t="n">
        <f aca="false">+O47+N48</f>
        <v>7750000</v>
      </c>
      <c r="P48" s="67"/>
      <c r="Q48" s="64" t="n">
        <v>2993285</v>
      </c>
      <c r="R48" s="26" t="n">
        <f aca="false">+P48-Q48</f>
        <v>-2993285</v>
      </c>
      <c r="S48" s="27" t="n">
        <f aca="false">IF(R48&lt;&gt;0,+R48/N48,0)</f>
        <v>2.993285</v>
      </c>
      <c r="T48" s="28"/>
      <c r="U48" s="50" t="n">
        <v>37500</v>
      </c>
      <c r="V48" s="63" t="n">
        <f aca="false">+B48+N48</f>
        <v>-1000000</v>
      </c>
      <c r="W48" s="63" t="n">
        <f aca="false">+W47+V48</f>
        <v>20389379</v>
      </c>
      <c r="X48" s="26" t="n">
        <f aca="false">+D48+P48</f>
        <v>0</v>
      </c>
      <c r="Y48" s="26" t="n">
        <f aca="false">+E48+Q48</f>
        <v>2993285</v>
      </c>
      <c r="Z48" s="26" t="n">
        <f aca="false">+F48+R48</f>
        <v>-2993285</v>
      </c>
      <c r="AA48" s="27" t="n">
        <f aca="false">IF(Z48&lt;&gt;0,+Z48/V48,0)</f>
        <v>2.993285</v>
      </c>
      <c r="AB48" s="67"/>
    </row>
    <row r="49" customFormat="false" ht="12.75" hidden="false" customHeight="false" outlineLevel="0" collapsed="false">
      <c r="A49" s="50" t="n">
        <v>37530</v>
      </c>
      <c r="B49" s="44" t="n">
        <v>0</v>
      </c>
      <c r="C49" s="31" t="n">
        <v>0</v>
      </c>
      <c r="D49" s="26"/>
      <c r="E49" s="26"/>
      <c r="F49" s="26"/>
      <c r="G49" s="28"/>
      <c r="H49" s="27"/>
      <c r="I49" s="67"/>
      <c r="J49" s="68"/>
      <c r="K49" s="67"/>
      <c r="L49" s="26"/>
      <c r="M49" s="50" t="n">
        <v>37530</v>
      </c>
      <c r="N49" s="66" t="n">
        <v>-2750000</v>
      </c>
      <c r="O49" s="45" t="n">
        <f aca="false">+O48+N49</f>
        <v>5000000</v>
      </c>
      <c r="P49" s="67"/>
      <c r="Q49" s="64" t="n">
        <v>8450115</v>
      </c>
      <c r="R49" s="26" t="n">
        <f aca="false">+P49-Q49</f>
        <v>-8450115</v>
      </c>
      <c r="S49" s="27" t="n">
        <f aca="false">IF(R49&lt;&gt;0,+R49/N49,0)</f>
        <v>3.07276909090909</v>
      </c>
      <c r="T49" s="28"/>
      <c r="U49" s="50" t="n">
        <v>37530</v>
      </c>
      <c r="V49" s="63" t="n">
        <f aca="false">+B49+N49</f>
        <v>-2750000</v>
      </c>
      <c r="W49" s="63" t="n">
        <f aca="false">+W48+V49</f>
        <v>17639379</v>
      </c>
      <c r="X49" s="26" t="n">
        <f aca="false">+D49+P49</f>
        <v>0</v>
      </c>
      <c r="Y49" s="26" t="n">
        <f aca="false">+E49+Q49</f>
        <v>8450115</v>
      </c>
      <c r="Z49" s="26" t="n">
        <f aca="false">+F49+R49</f>
        <v>-8450115</v>
      </c>
      <c r="AA49" s="27" t="n">
        <f aca="false">IF(Z49&lt;&gt;0,+Z49/V49,0)</f>
        <v>3.07276909090909</v>
      </c>
      <c r="AB49" s="67"/>
    </row>
    <row r="50" customFormat="false" ht="12.75" hidden="false" customHeight="false" outlineLevel="0" collapsed="false">
      <c r="A50" s="50" t="n">
        <v>37561</v>
      </c>
      <c r="B50" s="44" t="n">
        <v>0</v>
      </c>
      <c r="C50" s="31" t="n">
        <v>0</v>
      </c>
      <c r="D50" s="26"/>
      <c r="E50" s="26"/>
      <c r="F50" s="26"/>
      <c r="G50" s="28"/>
      <c r="H50" s="27"/>
      <c r="I50" s="67"/>
      <c r="J50" s="68"/>
      <c r="K50" s="67"/>
      <c r="L50" s="26"/>
      <c r="M50" s="50" t="n">
        <v>37561</v>
      </c>
      <c r="N50" s="66"/>
      <c r="O50" s="45" t="n">
        <f aca="false">+O49+N50</f>
        <v>5000000</v>
      </c>
      <c r="P50" s="67"/>
      <c r="Q50" s="64"/>
      <c r="R50" s="26" t="n">
        <f aca="false">+P50-Q50</f>
        <v>0</v>
      </c>
      <c r="S50" s="27" t="n">
        <f aca="false">IF(R50&lt;&gt;0,+R50/N50,0)</f>
        <v>0</v>
      </c>
      <c r="T50" s="28"/>
      <c r="U50" s="50" t="n">
        <v>37561</v>
      </c>
      <c r="V50" s="63" t="n">
        <f aca="false">+B50+N50</f>
        <v>0</v>
      </c>
      <c r="W50" s="63" t="n">
        <f aca="false">+W49+V50</f>
        <v>17639379</v>
      </c>
      <c r="X50" s="26" t="n">
        <f aca="false">+D50+P50</f>
        <v>0</v>
      </c>
      <c r="Y50" s="26" t="n">
        <f aca="false">+E50+Q50</f>
        <v>0</v>
      </c>
      <c r="Z50" s="26" t="n">
        <f aca="false">+F50+R50</f>
        <v>0</v>
      </c>
      <c r="AA50" s="27" t="n">
        <f aca="false">IF(Z50&lt;&gt;0,+Z50/V50,0)</f>
        <v>0</v>
      </c>
      <c r="AB50" s="67"/>
    </row>
    <row r="51" customFormat="false" ht="12.75" hidden="false" customHeight="false" outlineLevel="0" collapsed="false">
      <c r="A51" s="50" t="n">
        <v>37591</v>
      </c>
      <c r="B51" s="44" t="n">
        <v>0</v>
      </c>
      <c r="C51" s="31" t="n">
        <v>0</v>
      </c>
      <c r="D51" s="26"/>
      <c r="E51" s="26"/>
      <c r="F51" s="26"/>
      <c r="G51" s="28"/>
      <c r="H51" s="27"/>
      <c r="I51" s="67"/>
      <c r="J51" s="68"/>
      <c r="K51" s="67"/>
      <c r="L51" s="26"/>
      <c r="M51" s="50" t="n">
        <v>37591</v>
      </c>
      <c r="N51" s="66"/>
      <c r="O51" s="45" t="n">
        <f aca="false">+O50+N51</f>
        <v>5000000</v>
      </c>
      <c r="P51" s="67"/>
      <c r="Q51" s="64"/>
      <c r="R51" s="26" t="n">
        <f aca="false">+P51-Q51</f>
        <v>0</v>
      </c>
      <c r="S51" s="27" t="n">
        <f aca="false">IF(R51&lt;&gt;0,+R51/N51,0)</f>
        <v>0</v>
      </c>
      <c r="T51" s="28"/>
      <c r="U51" s="50" t="n">
        <v>37591</v>
      </c>
      <c r="V51" s="63" t="n">
        <f aca="false">+B51+N51</f>
        <v>0</v>
      </c>
      <c r="W51" s="63" t="n">
        <f aca="false">+W50+V51</f>
        <v>17639379</v>
      </c>
      <c r="X51" s="26" t="n">
        <f aca="false">+D51+P51</f>
        <v>0</v>
      </c>
      <c r="Y51" s="26" t="n">
        <f aca="false">+E51+Q51</f>
        <v>0</v>
      </c>
      <c r="Z51" s="26" t="n">
        <f aca="false">+F51+R51</f>
        <v>0</v>
      </c>
      <c r="AA51" s="27" t="n">
        <f aca="false">IF(Z51&lt;&gt;0,+Z51/V51,0)</f>
        <v>0</v>
      </c>
      <c r="AB51" s="67"/>
    </row>
    <row r="52" customFormat="false" ht="12.75" hidden="false" customHeight="false" outlineLevel="0" collapsed="false">
      <c r="A52" s="50" t="n">
        <v>37622</v>
      </c>
      <c r="B52" s="44" t="n">
        <v>0</v>
      </c>
      <c r="C52" s="31" t="n">
        <v>0</v>
      </c>
      <c r="D52" s="26"/>
      <c r="E52" s="26"/>
      <c r="F52" s="26"/>
      <c r="G52" s="28"/>
      <c r="H52" s="27"/>
      <c r="I52" s="67"/>
      <c r="J52" s="68"/>
      <c r="K52" s="67"/>
      <c r="L52" s="26"/>
      <c r="M52" s="50" t="n">
        <v>37622</v>
      </c>
      <c r="N52" s="66"/>
      <c r="O52" s="45" t="n">
        <f aca="false">+O51+N52</f>
        <v>5000000</v>
      </c>
      <c r="P52" s="67"/>
      <c r="Q52" s="64"/>
      <c r="R52" s="26" t="n">
        <f aca="false">+P52-Q52</f>
        <v>0</v>
      </c>
      <c r="S52" s="27" t="n">
        <f aca="false">IF(R52&lt;&gt;0,+R52/N52,0)</f>
        <v>0</v>
      </c>
      <c r="T52" s="28"/>
      <c r="U52" s="50" t="n">
        <v>37622</v>
      </c>
      <c r="V52" s="63" t="n">
        <f aca="false">+B52+N52</f>
        <v>0</v>
      </c>
      <c r="W52" s="63" t="n">
        <f aca="false">+W51+V52</f>
        <v>17639379</v>
      </c>
      <c r="X52" s="26" t="n">
        <f aca="false">+D52+P52</f>
        <v>0</v>
      </c>
      <c r="Y52" s="26" t="n">
        <f aca="false">+E52+Q52</f>
        <v>0</v>
      </c>
      <c r="Z52" s="26" t="n">
        <f aca="false">+F52+R52</f>
        <v>0</v>
      </c>
      <c r="AA52" s="27" t="n">
        <f aca="false">IF(Z52&lt;&gt;0,+Z52/V52,0)</f>
        <v>0</v>
      </c>
      <c r="AB52" s="67"/>
    </row>
    <row r="53" customFormat="false" ht="12.75" hidden="false" customHeight="false" outlineLevel="0" collapsed="false">
      <c r="A53" s="50" t="n">
        <v>37653</v>
      </c>
      <c r="B53" s="44" t="n">
        <v>0</v>
      </c>
      <c r="C53" s="31" t="n">
        <v>0</v>
      </c>
      <c r="D53" s="26"/>
      <c r="E53" s="26"/>
      <c r="F53" s="26"/>
      <c r="G53" s="28"/>
      <c r="H53" s="27"/>
      <c r="I53" s="65"/>
      <c r="J53" s="69"/>
      <c r="K53" s="67"/>
      <c r="L53" s="26"/>
      <c r="M53" s="50" t="n">
        <v>37653</v>
      </c>
      <c r="N53" s="66"/>
      <c r="O53" s="45" t="n">
        <f aca="false">+O52+N53</f>
        <v>5000000</v>
      </c>
      <c r="P53" s="65"/>
      <c r="Q53" s="64"/>
      <c r="R53" s="26" t="n">
        <f aca="false">+P53-Q53</f>
        <v>0</v>
      </c>
      <c r="S53" s="27" t="n">
        <f aca="false">IF(R53&lt;&gt;0,+R53/N53,0)</f>
        <v>0</v>
      </c>
      <c r="T53" s="28"/>
      <c r="U53" s="50" t="n">
        <v>37653</v>
      </c>
      <c r="V53" s="63" t="n">
        <f aca="false">+B53+N53</f>
        <v>0</v>
      </c>
      <c r="W53" s="63" t="n">
        <f aca="false">+W52+V53</f>
        <v>17639379</v>
      </c>
      <c r="X53" s="26" t="n">
        <f aca="false">+D53+P53</f>
        <v>0</v>
      </c>
      <c r="Y53" s="26" t="n">
        <f aca="false">+E53+Q53</f>
        <v>0</v>
      </c>
      <c r="Z53" s="26" t="n">
        <f aca="false">+F53+R53</f>
        <v>0</v>
      </c>
      <c r="AA53" s="27" t="n">
        <f aca="false">IF(Z53&lt;&gt;0,+Z53/V53,0)</f>
        <v>0</v>
      </c>
      <c r="AB53" s="65"/>
    </row>
    <row r="54" customFormat="false" ht="12.75" hidden="false" customHeight="false" outlineLevel="0" collapsed="false">
      <c r="A54" s="50" t="n">
        <v>37681</v>
      </c>
      <c r="B54" s="44" t="n">
        <v>0</v>
      </c>
      <c r="C54" s="31" t="n">
        <v>0</v>
      </c>
      <c r="D54" s="26"/>
      <c r="E54" s="26"/>
      <c r="F54" s="26"/>
      <c r="G54" s="28"/>
      <c r="H54" s="27"/>
      <c r="I54" s="65"/>
      <c r="J54" s="69"/>
      <c r="K54" s="67"/>
      <c r="L54" s="26"/>
      <c r="M54" s="50" t="n">
        <v>37681</v>
      </c>
      <c r="N54" s="66" t="n">
        <v>-4000000</v>
      </c>
      <c r="O54" s="45" t="n">
        <f aca="false">+O53+N54</f>
        <v>1000000</v>
      </c>
      <c r="P54" s="65"/>
      <c r="Q54" s="64" t="n">
        <v>17017685</v>
      </c>
      <c r="R54" s="26" t="n">
        <f aca="false">+P54-Q54</f>
        <v>-17017685</v>
      </c>
      <c r="S54" s="27" t="n">
        <f aca="false">IF(R54&lt;&gt;0,+R54/N54,0)</f>
        <v>4.25442125</v>
      </c>
      <c r="T54" s="28"/>
      <c r="U54" s="50" t="n">
        <v>37681</v>
      </c>
      <c r="V54" s="63" t="n">
        <f aca="false">+B54+N54</f>
        <v>-4000000</v>
      </c>
      <c r="W54" s="63" t="n">
        <f aca="false">+W53+V54</f>
        <v>13639379</v>
      </c>
      <c r="X54" s="26" t="n">
        <f aca="false">+D54+P54</f>
        <v>0</v>
      </c>
      <c r="Y54" s="26" t="n">
        <f aca="false">+E54+Q54</f>
        <v>17017685</v>
      </c>
      <c r="Z54" s="26" t="n">
        <f aca="false">+F54+R54</f>
        <v>-17017685</v>
      </c>
      <c r="AA54" s="27" t="n">
        <f aca="false">IF(Z54&lt;&gt;0,+Z54/V54,0)</f>
        <v>4.25442125</v>
      </c>
      <c r="AB54" s="65"/>
    </row>
    <row r="55" customFormat="false" ht="12.75" hidden="false" customHeight="false" outlineLevel="0" collapsed="false">
      <c r="A55" s="65"/>
      <c r="B55" s="65"/>
      <c r="C55" s="65"/>
      <c r="D55" s="65"/>
      <c r="E55" s="65"/>
      <c r="F55" s="70"/>
      <c r="G55" s="65"/>
      <c r="H55" s="65"/>
      <c r="I55" s="65"/>
      <c r="J55" s="69"/>
      <c r="K55" s="67"/>
      <c r="M55" s="50"/>
      <c r="N55" s="66"/>
      <c r="O55" s="45"/>
      <c r="P55" s="26"/>
      <c r="Q55" s="26"/>
      <c r="R55" s="26"/>
      <c r="S55" s="26"/>
      <c r="T55" s="28"/>
      <c r="U55" s="50"/>
      <c r="V55" s="66"/>
      <c r="W55" s="45"/>
      <c r="X55" s="26"/>
      <c r="Y55" s="26"/>
      <c r="AA55" s="28"/>
      <c r="AB55" s="27"/>
    </row>
    <row r="56" customFormat="false" ht="12.75" hidden="false" customHeight="false" outlineLevel="0" collapsed="false">
      <c r="A56" s="50" t="s">
        <v>18</v>
      </c>
      <c r="B56" s="50"/>
      <c r="C56" s="45"/>
      <c r="D56" s="46"/>
      <c r="E56" s="46"/>
      <c r="F56" s="26" t="n">
        <f aca="false">SUM(F30:F54)</f>
        <v>27580167</v>
      </c>
      <c r="G56" s="28"/>
      <c r="H56" s="71"/>
      <c r="I56" s="28"/>
      <c r="J56" s="46"/>
      <c r="K56" s="46"/>
      <c r="M56" s="50" t="s">
        <v>18</v>
      </c>
      <c r="N56" s="50"/>
      <c r="O56" s="45"/>
      <c r="P56" s="46"/>
      <c r="Q56" s="46"/>
      <c r="R56" s="26" t="n">
        <f aca="false">SUM(R30:R54)</f>
        <v>-2201244</v>
      </c>
      <c r="S56" s="26"/>
      <c r="T56" s="28"/>
      <c r="U56" s="50" t="s">
        <v>18</v>
      </c>
      <c r="V56" s="50"/>
      <c r="W56" s="45"/>
      <c r="X56" s="46"/>
      <c r="Y56" s="46"/>
      <c r="Z56" s="26" t="n">
        <f aca="false">SUM(Z30:Z54)</f>
        <v>25378923</v>
      </c>
      <c r="AA56" s="28"/>
      <c r="AB56" s="71"/>
    </row>
    <row r="57" customFormat="false" ht="12.75" hidden="false" customHeight="false" outlineLevel="0" collapsed="false">
      <c r="A57" s="50"/>
      <c r="B57" s="50"/>
      <c r="C57" s="50"/>
      <c r="D57" s="72"/>
      <c r="E57" s="72" t="s">
        <v>26</v>
      </c>
      <c r="F57" s="26" t="n">
        <v>-3587750</v>
      </c>
      <c r="G57" s="28"/>
      <c r="H57" s="73"/>
      <c r="I57" s="28"/>
      <c r="J57" s="72"/>
      <c r="K57" s="46"/>
    </row>
    <row r="58" customFormat="false" ht="12.75" hidden="false" customHeight="false" outlineLevel="0" collapsed="false">
      <c r="E58" s="1" t="s">
        <v>27</v>
      </c>
      <c r="F58" s="74" t="n">
        <f aca="false">+F56-F57</f>
        <v>31167917</v>
      </c>
      <c r="J58" s="75"/>
      <c r="K58" s="75"/>
      <c r="R58" s="26"/>
    </row>
    <row r="59" customFormat="false" ht="13.5" hidden="false" customHeight="false" outlineLevel="0" collapsed="false">
      <c r="J59" s="75"/>
      <c r="K59" s="75"/>
    </row>
    <row r="60" customFormat="false" ht="12.75" hidden="false" customHeight="false" outlineLevel="0" collapsed="false">
      <c r="A60" s="4" t="s">
        <v>19</v>
      </c>
      <c r="B60" s="5"/>
      <c r="C60" s="5"/>
      <c r="D60" s="6"/>
      <c r="E60" s="6"/>
      <c r="F60" s="10"/>
      <c r="J60" s="75"/>
      <c r="K60" s="75"/>
      <c r="R60" s="77" t="n">
        <f aca="false">+R56-R58</f>
        <v>-2201244</v>
      </c>
    </row>
    <row r="61" customFormat="false" ht="12.75" hidden="false" customHeight="false" outlineLevel="0" collapsed="false">
      <c r="A61" s="11"/>
      <c r="B61" s="12"/>
      <c r="C61" s="12"/>
      <c r="D61" s="13"/>
      <c r="E61" s="13"/>
      <c r="F61" s="15"/>
    </row>
    <row r="62" customFormat="false" ht="12.75" hidden="false" customHeight="false" outlineLevel="0" collapsed="false">
      <c r="A62" s="11"/>
      <c r="B62" s="12" t="s">
        <v>4</v>
      </c>
      <c r="C62" s="12" t="s">
        <v>5</v>
      </c>
      <c r="D62" s="13"/>
      <c r="E62" s="12" t="s">
        <v>23</v>
      </c>
      <c r="F62" s="17"/>
    </row>
    <row r="63" customFormat="false" ht="12.75" hidden="false" customHeight="false" outlineLevel="0" collapsed="false">
      <c r="A63" s="18" t="s">
        <v>11</v>
      </c>
      <c r="B63" s="19" t="s">
        <v>3</v>
      </c>
      <c r="C63" s="19" t="s">
        <v>3</v>
      </c>
      <c r="D63" s="19" t="s">
        <v>13</v>
      </c>
      <c r="E63" s="19" t="s">
        <v>25</v>
      </c>
      <c r="F63" s="22"/>
    </row>
    <row r="64" customFormat="false" ht="12.75" hidden="false" customHeight="false" outlineLevel="0" collapsed="false">
      <c r="A64" s="11"/>
      <c r="B64" s="12"/>
      <c r="C64" s="12"/>
      <c r="D64" s="13"/>
      <c r="E64" s="13"/>
      <c r="F64" s="15"/>
    </row>
    <row r="65" customFormat="false" ht="12.75" hidden="false" customHeight="false" outlineLevel="0" collapsed="false">
      <c r="A65" s="25" t="n">
        <v>36951</v>
      </c>
      <c r="B65" s="78" t="n">
        <v>2161455</v>
      </c>
      <c r="C65" s="78" t="n">
        <v>2161455</v>
      </c>
      <c r="D65" s="79" t="n">
        <v>2.8</v>
      </c>
      <c r="E65" s="26" t="n">
        <f aca="false">+B65*D65</f>
        <v>6052074</v>
      </c>
      <c r="F65" s="30"/>
    </row>
    <row r="66" customFormat="false" ht="12.75" hidden="false" customHeight="false" outlineLevel="0" collapsed="false">
      <c r="A66" s="25" t="n">
        <v>36982</v>
      </c>
      <c r="B66" s="78" t="n">
        <f aca="false">+C66-C65</f>
        <v>1266261</v>
      </c>
      <c r="C66" s="78" t="n">
        <v>3427716</v>
      </c>
      <c r="D66" s="79" t="n">
        <v>2.8</v>
      </c>
      <c r="E66" s="26" t="n">
        <f aca="false">+B66*D66</f>
        <v>3545530.8</v>
      </c>
      <c r="F66" s="30"/>
    </row>
    <row r="67" customFormat="false" ht="12.75" hidden="false" customHeight="false" outlineLevel="0" collapsed="false">
      <c r="A67" s="25" t="n">
        <v>37012</v>
      </c>
      <c r="B67" s="78" t="n">
        <f aca="false">+C67-C66</f>
        <v>2029288</v>
      </c>
      <c r="C67" s="78" t="n">
        <v>5457004</v>
      </c>
      <c r="D67" s="79" t="n">
        <v>2.8</v>
      </c>
      <c r="E67" s="26" t="n">
        <f aca="false">+B67*D67</f>
        <v>5682006.4</v>
      </c>
      <c r="F67" s="30"/>
    </row>
    <row r="68" customFormat="false" ht="12.75" hidden="false" customHeight="false" outlineLevel="0" collapsed="false">
      <c r="A68" s="25" t="n">
        <v>37043</v>
      </c>
      <c r="B68" s="78" t="n">
        <f aca="false">+C68-C67</f>
        <v>2813887</v>
      </c>
      <c r="C68" s="78" t="n">
        <v>8270891</v>
      </c>
      <c r="D68" s="79" t="n">
        <v>2.8</v>
      </c>
      <c r="E68" s="26" t="n">
        <f aca="false">+B68*D68</f>
        <v>7878883.6</v>
      </c>
      <c r="F68" s="30"/>
    </row>
    <row r="69" customFormat="false" ht="12.75" hidden="false" customHeight="false" outlineLevel="0" collapsed="false">
      <c r="A69" s="33" t="n">
        <v>37073</v>
      </c>
      <c r="B69" s="45" t="n">
        <v>2222676</v>
      </c>
      <c r="C69" s="45" t="n">
        <f aca="false">+C68+B69</f>
        <v>10493567</v>
      </c>
      <c r="D69" s="79" t="n">
        <v>2.8</v>
      </c>
      <c r="E69" s="26" t="n">
        <f aca="false">+B69*D69</f>
        <v>6223492.8</v>
      </c>
      <c r="F69" s="30"/>
    </row>
    <row r="70" customFormat="false" ht="12.75" hidden="false" customHeight="false" outlineLevel="0" collapsed="false">
      <c r="A70" s="33" t="n">
        <v>37104</v>
      </c>
      <c r="B70" s="45" t="n">
        <v>1697448</v>
      </c>
      <c r="C70" s="45" t="n">
        <f aca="false">+C69+B70</f>
        <v>12191015</v>
      </c>
      <c r="D70" s="79" t="n">
        <v>2.8</v>
      </c>
      <c r="E70" s="26" t="n">
        <f aca="false">+B70*D70</f>
        <v>4752854.4</v>
      </c>
      <c r="F70" s="30"/>
    </row>
    <row r="71" customFormat="false" ht="12.75" hidden="false" customHeight="false" outlineLevel="0" collapsed="false">
      <c r="A71" s="33" t="n">
        <v>37135</v>
      </c>
      <c r="B71" s="45" t="n">
        <v>1374743</v>
      </c>
      <c r="C71" s="45" t="n">
        <f aca="false">+C70+B71</f>
        <v>13565758</v>
      </c>
      <c r="D71" s="79" t="n">
        <v>2.8</v>
      </c>
      <c r="E71" s="26" t="n">
        <f aca="false">+B71*D71</f>
        <v>3849280.4</v>
      </c>
      <c r="F71" s="30"/>
    </row>
    <row r="72" customFormat="false" ht="12.75" hidden="false" customHeight="false" outlineLevel="0" collapsed="false">
      <c r="A72" s="33" t="n">
        <v>37165</v>
      </c>
      <c r="B72" s="45" t="n">
        <v>1634953</v>
      </c>
      <c r="C72" s="45" t="n">
        <f aca="false">+C71+B72</f>
        <v>15200711</v>
      </c>
      <c r="D72" s="79" t="n">
        <v>2.8</v>
      </c>
      <c r="E72" s="26" t="n">
        <f aca="false">+B72*D72</f>
        <v>4577868.4</v>
      </c>
      <c r="F72" s="30"/>
    </row>
    <row r="73" customFormat="false" ht="12.75" hidden="false" customHeight="false" outlineLevel="0" collapsed="false">
      <c r="A73" s="33" t="n">
        <v>37196</v>
      </c>
      <c r="B73" s="66" t="n">
        <v>-2564363</v>
      </c>
      <c r="C73" s="45" t="n">
        <f aca="false">+C72+B73</f>
        <v>12636348</v>
      </c>
      <c r="D73" s="79" t="n">
        <v>3.15</v>
      </c>
      <c r="E73" s="26" t="n">
        <f aca="false">+B73*D73</f>
        <v>-8077743.45</v>
      </c>
      <c r="F73" s="30"/>
    </row>
    <row r="74" customFormat="false" ht="12.75" hidden="false" customHeight="false" outlineLevel="0" collapsed="false">
      <c r="A74" s="33" t="n">
        <v>37226</v>
      </c>
      <c r="B74" s="66" t="n">
        <v>-4920003</v>
      </c>
      <c r="C74" s="45" t="n">
        <f aca="false">+C73+B74</f>
        <v>7716345</v>
      </c>
      <c r="D74" s="79" t="n">
        <v>3.15</v>
      </c>
      <c r="E74" s="26" t="n">
        <f aca="false">+B74*D74</f>
        <v>-15498009.45</v>
      </c>
      <c r="F74" s="30"/>
    </row>
    <row r="75" customFormat="false" ht="12.75" hidden="false" customHeight="false" outlineLevel="0" collapsed="false">
      <c r="A75" s="33" t="n">
        <v>37257</v>
      </c>
      <c r="B75" s="66" t="n">
        <v>-2162337</v>
      </c>
      <c r="C75" s="45" t="n">
        <f aca="false">+C74+B75</f>
        <v>5554008</v>
      </c>
      <c r="D75" s="79" t="n">
        <v>3.15</v>
      </c>
      <c r="E75" s="26" t="n">
        <f aca="false">+B75*D75</f>
        <v>-6811361.55</v>
      </c>
      <c r="F75" s="30"/>
    </row>
    <row r="76" customFormat="false" ht="12.75" hidden="false" customHeight="false" outlineLevel="0" collapsed="false">
      <c r="A76" s="33" t="n">
        <v>37288</v>
      </c>
      <c r="B76" s="66" t="n">
        <v>-2002604</v>
      </c>
      <c r="C76" s="45" t="n">
        <f aca="false">+C75+B76</f>
        <v>3551404</v>
      </c>
      <c r="D76" s="79" t="n">
        <v>3.15</v>
      </c>
      <c r="E76" s="26" t="n">
        <f aca="false">+B76*D76</f>
        <v>-6308202.6</v>
      </c>
      <c r="F76" s="30"/>
    </row>
    <row r="77" customFormat="false" ht="12.75" hidden="false" customHeight="false" outlineLevel="0" collapsed="false">
      <c r="A77" s="33" t="n">
        <v>37316</v>
      </c>
      <c r="B77" s="66" t="n">
        <v>-3469812</v>
      </c>
      <c r="C77" s="45" t="n">
        <f aca="false">+C76+B77</f>
        <v>81592</v>
      </c>
      <c r="D77" s="79" t="n">
        <v>3.15</v>
      </c>
      <c r="E77" s="26" t="n">
        <f aca="false">+B77*D77</f>
        <v>-10929907.8</v>
      </c>
      <c r="F77" s="30"/>
    </row>
    <row r="78" customFormat="false" ht="12.75" hidden="false" customHeight="false" outlineLevel="0" collapsed="false">
      <c r="A78" s="33"/>
      <c r="B78" s="66"/>
      <c r="C78" s="45"/>
      <c r="D78" s="79"/>
      <c r="E78" s="26"/>
      <c r="F78" s="30"/>
    </row>
    <row r="79" customFormat="false" ht="12.75" hidden="false" customHeight="false" outlineLevel="0" collapsed="false">
      <c r="A79" s="33" t="s">
        <v>18</v>
      </c>
      <c r="B79" s="50"/>
      <c r="C79" s="45"/>
      <c r="D79" s="46"/>
      <c r="E79" s="46"/>
      <c r="F79" s="49"/>
    </row>
    <row r="80" customFormat="false" ht="13.5" hidden="false" customHeight="false" outlineLevel="0" collapsed="false">
      <c r="A80" s="51"/>
      <c r="B80" s="52"/>
      <c r="C80" s="52"/>
      <c r="D80" s="53"/>
      <c r="E80" s="53"/>
      <c r="F80" s="57"/>
    </row>
  </sheetData>
  <printOptions headings="false" gridLines="false" gridLinesSet="true" horizontalCentered="false" verticalCentered="false"/>
  <pageMargins left="0.320138888888889" right="0.220138888888889" top="0.629861111111111" bottom="0.620138888888889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&amp;L&amp;D&amp;C&amp;F&amp;R&amp;T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80" width="15.13"/>
    <col collapsed="false" customWidth="true" hidden="false" outlineLevel="0" max="3" min="3" style="81" width="13.85"/>
    <col collapsed="false" customWidth="true" hidden="false" outlineLevel="0" max="4" min="4" style="82" width="17.42"/>
    <col collapsed="false" customWidth="true" hidden="false" outlineLevel="0" max="5" min="5" style="80" width="15.7"/>
    <col collapsed="false" customWidth="true" hidden="false" outlineLevel="0" max="6" min="6" style="81" width="14.85"/>
    <col collapsed="false" customWidth="true" hidden="false" outlineLevel="0" max="7" min="7" style="82" width="20.13"/>
    <col collapsed="false" customWidth="true" hidden="false" outlineLevel="0" max="8" min="8" style="80" width="12.42"/>
    <col collapsed="false" customWidth="true" hidden="false" outlineLevel="0" max="9" min="9" style="82" width="10.85"/>
    <col collapsed="false" customWidth="true" hidden="false" outlineLevel="0" max="10" min="10" style="1" width="16.28"/>
    <col collapsed="false" customWidth="true" hidden="false" outlineLevel="0" max="11" min="11" style="1" width="9.14"/>
    <col collapsed="false" customWidth="true" hidden="false" outlineLevel="0" max="12" min="12" style="1" width="16.99"/>
    <col collapsed="false" customWidth="true" hidden="false" outlineLevel="0" max="13" min="13" style="1" width="15.85"/>
    <col collapsed="false" customWidth="true" hidden="false" outlineLevel="0" max="15" min="14" style="0" width="16.28"/>
    <col collapsed="false" customWidth="true" hidden="false" outlineLevel="0" max="16" min="16" style="0" width="12.28"/>
    <col collapsed="false" customWidth="true" hidden="false" outlineLevel="0" max="17" min="17" style="0" width="16.99"/>
    <col collapsed="false" customWidth="true" hidden="false" outlineLevel="0" max="18" min="18" style="0" width="16.28"/>
  </cols>
  <sheetData>
    <row r="1" customFormat="false" ht="12.75" hidden="false" customHeight="false" outlineLevel="0" collapsed="false">
      <c r="E1" s="80" t="s">
        <v>28</v>
      </c>
    </row>
    <row r="2" customFormat="false" ht="12.75" hidden="false" customHeight="false" outlineLevel="0" collapsed="false">
      <c r="A2" s="83" t="s">
        <v>29</v>
      </c>
      <c r="B2" s="84" t="s">
        <v>30</v>
      </c>
      <c r="C2" s="85"/>
      <c r="D2" s="86"/>
      <c r="E2" s="84"/>
      <c r="F2" s="85"/>
      <c r="G2" s="86"/>
      <c r="H2" s="84"/>
      <c r="I2" s="86"/>
      <c r="J2" s="87"/>
    </row>
    <row r="3" customFormat="false" ht="12.75" hidden="false" customHeight="false" outlineLevel="0" collapsed="false">
      <c r="A3" s="83"/>
      <c r="B3" s="84"/>
      <c r="C3" s="85"/>
      <c r="D3" s="86"/>
      <c r="E3" s="84"/>
      <c r="F3" s="85"/>
      <c r="G3" s="86"/>
      <c r="H3" s="84"/>
      <c r="I3" s="86"/>
      <c r="J3" s="87"/>
      <c r="L3" s="70" t="s">
        <v>31</v>
      </c>
      <c r="M3" s="70"/>
    </row>
    <row r="4" customFormat="false" ht="12.75" hidden="false" customHeight="false" outlineLevel="0" collapsed="false">
      <c r="A4" s="83" t="s">
        <v>11</v>
      </c>
      <c r="B4" s="84" t="s">
        <v>32</v>
      </c>
      <c r="C4" s="85" t="s">
        <v>33</v>
      </c>
      <c r="D4" s="86" t="s">
        <v>34</v>
      </c>
      <c r="E4" s="84" t="s">
        <v>35</v>
      </c>
      <c r="F4" s="85" t="s">
        <v>36</v>
      </c>
      <c r="G4" s="86" t="s">
        <v>37</v>
      </c>
      <c r="H4" s="84" t="s">
        <v>38</v>
      </c>
      <c r="I4" s="86" t="s">
        <v>39</v>
      </c>
      <c r="J4" s="87"/>
      <c r="L4" s="70" t="s">
        <v>6</v>
      </c>
      <c r="M4" s="70" t="s">
        <v>40</v>
      </c>
      <c r="N4" s="70" t="s">
        <v>41</v>
      </c>
      <c r="O4" s="70"/>
      <c r="P4" s="70" t="s">
        <v>42</v>
      </c>
      <c r="Q4" s="70" t="s">
        <v>43</v>
      </c>
    </row>
    <row r="5" customFormat="false" ht="12.75" hidden="false" customHeight="false" outlineLevel="0" collapsed="false">
      <c r="A5" s="83" t="s">
        <v>44</v>
      </c>
      <c r="B5" s="84" t="n">
        <f aca="false">150855+87500+2064399</f>
        <v>2302754</v>
      </c>
      <c r="C5" s="85" t="n">
        <f aca="false">11766255.21</f>
        <v>11766255.21</v>
      </c>
      <c r="D5" s="88" t="n">
        <f aca="false">11766255.21/2302754</f>
        <v>5.10964489042251</v>
      </c>
      <c r="E5" s="84" t="n">
        <f aca="false">153934+75189+461</f>
        <v>229584</v>
      </c>
      <c r="F5" s="85" t="n">
        <f aca="false">(782209.94+399803.16+2395.8)</f>
        <v>1184408.9</v>
      </c>
      <c r="G5" s="88" t="n">
        <f aca="false">(782209.94+399803.16+2395.8)/229584</f>
        <v>5.15893485608753</v>
      </c>
      <c r="H5" s="84" t="n">
        <f aca="false">B5-E5</f>
        <v>2073170</v>
      </c>
      <c r="I5" s="88" t="n">
        <f aca="false">(+C5-F5)/H5</f>
        <v>5.10418649218347</v>
      </c>
      <c r="J5" s="89" t="n">
        <f aca="false">+H5*I5</f>
        <v>10581846.31</v>
      </c>
      <c r="L5" s="90" t="n">
        <v>0</v>
      </c>
      <c r="M5" s="90" t="n">
        <v>-1825815</v>
      </c>
      <c r="N5" s="91" t="n">
        <f aca="false">+L5+M5</f>
        <v>-1825815</v>
      </c>
      <c r="O5" s="92" t="n">
        <v>36951</v>
      </c>
      <c r="P5" s="80" t="n">
        <f aca="false">+H5</f>
        <v>2073170</v>
      </c>
      <c r="Q5" s="91" t="n">
        <f aca="false">+-J5+N5</f>
        <v>-12407661.31</v>
      </c>
    </row>
    <row r="6" customFormat="false" ht="12.75" hidden="false" customHeight="false" outlineLevel="0" collapsed="false">
      <c r="A6" s="83" t="s">
        <v>45</v>
      </c>
      <c r="B6" s="84" t="n">
        <f aca="false">743633+34000+948700+3500+1830+8000</f>
        <v>1739663</v>
      </c>
      <c r="C6" s="85" t="n">
        <f aca="false">3897434.49+163700+4838899.07+18690+9644.1+39200</f>
        <v>8967567.66</v>
      </c>
      <c r="D6" s="88" t="n">
        <f aca="false">C6/B6</f>
        <v>5.15477288417354</v>
      </c>
      <c r="E6" s="84" t="n">
        <f aca="false">258401+31586+13403+5000+144500</f>
        <v>452890</v>
      </c>
      <c r="F6" s="85" t="n">
        <f aca="false">1321538.38+163961.72+71899.8+26775+713970</f>
        <v>2298144.9</v>
      </c>
      <c r="G6" s="88" t="n">
        <f aca="false">F6/E6</f>
        <v>5.07439974386716</v>
      </c>
      <c r="H6" s="84" t="n">
        <f aca="false">B6-E6</f>
        <v>1286773</v>
      </c>
      <c r="I6" s="88" t="n">
        <f aca="false">(+C6-F6)/H6</f>
        <v>5.18306085067063</v>
      </c>
      <c r="J6" s="89" t="n">
        <f aca="false">+H6*I6</f>
        <v>6669422.76</v>
      </c>
      <c r="L6" s="90" t="n">
        <v>96205</v>
      </c>
      <c r="M6" s="90" t="n">
        <v>-645524</v>
      </c>
      <c r="N6" s="91" t="n">
        <f aca="false">+L6+M6</f>
        <v>-549319</v>
      </c>
      <c r="O6" s="92" t="n">
        <v>36982</v>
      </c>
      <c r="P6" s="80" t="n">
        <f aca="false">+H6</f>
        <v>1286773</v>
      </c>
      <c r="Q6" s="91" t="n">
        <f aca="false">+-J6+N6</f>
        <v>-7218741.76</v>
      </c>
    </row>
    <row r="7" customFormat="false" ht="12.75" hidden="false" customHeight="false" outlineLevel="0" collapsed="false">
      <c r="A7" s="83" t="s">
        <v>46</v>
      </c>
      <c r="B7" s="84" t="n">
        <f aca="false">891334+45000+953093+220898+2139</f>
        <v>2112464</v>
      </c>
      <c r="C7" s="85" t="n">
        <f aca="false">3888471.5+206100+4411828.1+1012553.22+10149.57</f>
        <v>9529102.39</v>
      </c>
      <c r="D7" s="88" t="n">
        <f aca="false">C7/B7</f>
        <v>4.51089457145779</v>
      </c>
      <c r="E7" s="84" t="n">
        <f aca="false">15000+30000</f>
        <v>45000</v>
      </c>
      <c r="F7" s="85" t="n">
        <f aca="false">125100+66600</f>
        <v>191700</v>
      </c>
      <c r="G7" s="88" t="n">
        <f aca="false">F7/E7</f>
        <v>4.26</v>
      </c>
      <c r="H7" s="84" t="n">
        <f aca="false">B7-E7</f>
        <v>2067464</v>
      </c>
      <c r="I7" s="88" t="n">
        <f aca="false">(+C7-F7)/H7</f>
        <v>4.51635549155874</v>
      </c>
      <c r="J7" s="89" t="n">
        <f aca="false">+H7*I7</f>
        <v>9337402.39</v>
      </c>
      <c r="L7" s="90" t="n">
        <f aca="false">-4609498+4674929</f>
        <v>65431</v>
      </c>
      <c r="M7" s="90" t="n">
        <v>-60077</v>
      </c>
      <c r="N7" s="91" t="n">
        <f aca="false">+L7+M7</f>
        <v>5354</v>
      </c>
      <c r="O7" s="92" t="n">
        <v>37012</v>
      </c>
      <c r="P7" s="80" t="n">
        <f aca="false">+H7</f>
        <v>2067464</v>
      </c>
      <c r="Q7" s="91" t="n">
        <f aca="false">+-J7+N7</f>
        <v>-9332048.39</v>
      </c>
    </row>
    <row r="8" customFormat="false" ht="12.75" hidden="false" customHeight="false" outlineLevel="0" collapsed="false">
      <c r="A8" s="83" t="s">
        <v>47</v>
      </c>
      <c r="B8" s="84" t="n">
        <f aca="false">2225740+16500+368970+32638+600000+185090</f>
        <v>3428938</v>
      </c>
      <c r="C8" s="85" t="n">
        <f aca="false">8016324.09+58470+1323193.52+125773.13+2151000+695397.67</f>
        <v>12370158.41</v>
      </c>
      <c r="D8" s="88" t="n">
        <f aca="false">C8/B8</f>
        <v>3.6075771594587</v>
      </c>
      <c r="E8" s="84" t="n">
        <f aca="false">41100+11500+5000+10138+20000+50000+424020</f>
        <v>561758</v>
      </c>
      <c r="F8" s="85" t="n">
        <f aca="false">164219.75+42895+18150+40393.38+83600+195260+1594990.95</f>
        <v>2139509.08</v>
      </c>
      <c r="G8" s="88" t="n">
        <f aca="false">F8/E8</f>
        <v>3.80859565862881</v>
      </c>
      <c r="H8" s="84" t="n">
        <f aca="false">B8-E8</f>
        <v>2867180</v>
      </c>
      <c r="I8" s="88" t="n">
        <f aca="false">(+C8-F8)/H8</f>
        <v>3.56819220627934</v>
      </c>
      <c r="J8" s="89" t="n">
        <f aca="false">+H8*I8</f>
        <v>10230649.33</v>
      </c>
      <c r="L8" s="90" t="n">
        <f aca="false">-7680091+7768943</f>
        <v>88852</v>
      </c>
      <c r="M8" s="90" t="n">
        <v>-2313599</v>
      </c>
      <c r="N8" s="91" t="n">
        <f aca="false">+L8+M8</f>
        <v>-2224747</v>
      </c>
      <c r="O8" s="92" t="n">
        <v>37043</v>
      </c>
      <c r="P8" s="80" t="n">
        <f aca="false">+H8</f>
        <v>2867180</v>
      </c>
      <c r="Q8" s="91" t="n">
        <f aca="false">+-J8+N8</f>
        <v>-12455396.33</v>
      </c>
    </row>
    <row r="9" customFormat="false" ht="12.75" hidden="false" customHeight="false" outlineLevel="0" collapsed="false">
      <c r="A9" s="83" t="s">
        <v>48</v>
      </c>
      <c r="B9" s="84" t="n">
        <f aca="false">2130379+405699+10000+2400+620000+10277</f>
        <v>3178755</v>
      </c>
      <c r="C9" s="85" t="n">
        <f aca="false">6470211.36+1202844.88+28550+6984+1841400+32196.94</f>
        <v>9582187.18</v>
      </c>
      <c r="D9" s="88" t="n">
        <f aca="false">C9/B9</f>
        <v>3.0144465930844</v>
      </c>
      <c r="E9" s="84" t="n">
        <f aca="false">392762+10608+533421+10000+4200+5100</f>
        <v>956091</v>
      </c>
      <c r="F9" s="85" t="n">
        <f aca="false">1204713.37+30105.36+1579760.64+28150+12096+16843.75</f>
        <v>2871669.12</v>
      </c>
      <c r="G9" s="88" t="n">
        <f aca="false">F9/E9</f>
        <v>3.00355208866102</v>
      </c>
      <c r="H9" s="84" t="n">
        <f aca="false">B9-E9</f>
        <v>2222664</v>
      </c>
      <c r="I9" s="88" t="n">
        <f aca="false">(+C9-F9)/H9</f>
        <v>3.01913292337483</v>
      </c>
      <c r="J9" s="89" t="n">
        <f aca="false">+H9*I9</f>
        <v>6710518.06</v>
      </c>
      <c r="L9" s="90" t="n">
        <f aca="false">-6231657+6310811</f>
        <v>79154</v>
      </c>
      <c r="M9" s="90" t="n">
        <v>-2204837</v>
      </c>
      <c r="N9" s="91" t="n">
        <f aca="false">+L9+M9</f>
        <v>-2125683</v>
      </c>
      <c r="O9" s="92" t="n">
        <v>37073</v>
      </c>
      <c r="P9" s="80" t="n">
        <f aca="false">+H9</f>
        <v>2222664</v>
      </c>
      <c r="Q9" s="91" t="n">
        <f aca="false">+-J9+N9</f>
        <v>-8836201.06</v>
      </c>
    </row>
    <row r="10" customFormat="false" ht="12.75" hidden="false" customHeight="false" outlineLevel="0" collapsed="false">
      <c r="A10" s="83" t="s">
        <v>49</v>
      </c>
      <c r="B10" s="84" t="n">
        <f aca="false">1316804+10000+300678+103549</f>
        <v>1731031</v>
      </c>
      <c r="C10" s="85" t="n">
        <f aca="false">3891142.72+30100+860700.97+316504.08</f>
        <v>5098447.77</v>
      </c>
      <c r="D10" s="88" t="n">
        <f aca="false">C10/B10</f>
        <v>2.94532435872032</v>
      </c>
      <c r="E10" s="84" t="n">
        <f aca="false">334565+38565+279538+583+5000</f>
        <v>658251</v>
      </c>
      <c r="F10" s="85" t="n">
        <f aca="false">1041804.36+104433.05+818540.59+1807.3+11600</f>
        <v>1978185.3</v>
      </c>
      <c r="G10" s="88" t="n">
        <f aca="false">F10/E10</f>
        <v>3.00521427236723</v>
      </c>
      <c r="H10" s="84" t="n">
        <f aca="false">+B10-E10</f>
        <v>1072780</v>
      </c>
      <c r="I10" s="88" t="n">
        <f aca="false">(+C10-F10)/H10</f>
        <v>2.90857628777569</v>
      </c>
      <c r="J10" s="89" t="n">
        <f aca="false">+H10*I10</f>
        <v>3120262.47</v>
      </c>
      <c r="L10" s="90" t="n">
        <f aca="false">-4985991+5363941</f>
        <v>377950</v>
      </c>
      <c r="M10" s="90" t="n">
        <v>33163</v>
      </c>
      <c r="N10" s="91" t="n">
        <f aca="false">+L10+M10</f>
        <v>411113</v>
      </c>
      <c r="O10" s="92" t="n">
        <v>37104</v>
      </c>
      <c r="P10" s="80" t="n">
        <f aca="false">+H10</f>
        <v>1072780</v>
      </c>
      <c r="Q10" s="91" t="n">
        <f aca="false">+-J10+N10</f>
        <v>-2709149.47</v>
      </c>
    </row>
    <row r="11" customFormat="false" ht="12.75" hidden="false" customHeight="false" outlineLevel="0" collapsed="false">
      <c r="A11" s="83" t="s">
        <v>50</v>
      </c>
      <c r="B11" s="84" t="n">
        <f aca="false">1111006+564007+5000+100957</f>
        <v>1780970</v>
      </c>
      <c r="C11" s="85" t="n">
        <f aca="false">2448827.38+1157494.68+11250+225769.92</f>
        <v>3843341.98</v>
      </c>
      <c r="D11" s="88" t="n">
        <f aca="false">C11/B11</f>
        <v>2.15800489620825</v>
      </c>
      <c r="E11" s="84" t="n">
        <f aca="false">591909+139713</f>
        <v>731622</v>
      </c>
      <c r="F11" s="85" t="n">
        <f aca="false">1152332.2+310669.1</f>
        <v>1463001.3</v>
      </c>
      <c r="G11" s="88" t="n">
        <f aca="false">F11/E11</f>
        <v>1.99966827132044</v>
      </c>
      <c r="H11" s="84" t="n">
        <f aca="false">+B11-E11</f>
        <v>1049348</v>
      </c>
      <c r="I11" s="88" t="n">
        <f aca="false">(+C11-F11)/H11</f>
        <v>2.26839969199922</v>
      </c>
      <c r="J11" s="89" t="n">
        <f aca="false">+H11*I11</f>
        <v>2380340.68</v>
      </c>
      <c r="L11" s="90" t="n">
        <f aca="false">-3323438+3412429</f>
        <v>88991</v>
      </c>
      <c r="M11" s="90" t="n">
        <v>-558965</v>
      </c>
      <c r="N11" s="91" t="n">
        <f aca="false">+L11+M11</f>
        <v>-469974</v>
      </c>
      <c r="O11" s="92" t="n">
        <v>37135</v>
      </c>
      <c r="P11" s="80" t="n">
        <f aca="false">+H11</f>
        <v>1049348</v>
      </c>
      <c r="Q11" s="91" t="n">
        <f aca="false">+-J11+N11</f>
        <v>-2850314.68</v>
      </c>
    </row>
    <row r="12" customFormat="false" ht="12.75" hidden="false" customHeight="false" outlineLevel="0" collapsed="false">
      <c r="A12" s="83"/>
      <c r="B12" s="84"/>
      <c r="C12" s="85"/>
      <c r="D12" s="88"/>
      <c r="E12" s="84"/>
      <c r="F12" s="85"/>
      <c r="G12" s="88"/>
      <c r="H12" s="84"/>
      <c r="I12" s="88"/>
      <c r="J12" s="89"/>
      <c r="L12" s="70"/>
      <c r="M12" s="70"/>
      <c r="O12" s="92" t="n">
        <v>37165</v>
      </c>
      <c r="P12" s="93" t="n">
        <v>2312340</v>
      </c>
      <c r="Q12" s="94" t="n">
        <v>-4647960</v>
      </c>
    </row>
    <row r="13" customFormat="false" ht="12.75" hidden="false" customHeight="false" outlineLevel="0" collapsed="false">
      <c r="A13" s="83" t="s">
        <v>51</v>
      </c>
      <c r="B13" s="84" t="n">
        <f aca="false">SUM(B5:B11)</f>
        <v>16274575</v>
      </c>
      <c r="C13" s="85" t="n">
        <f aca="false">SUM(C5:C11)</f>
        <v>61157060.6</v>
      </c>
      <c r="D13" s="86" t="n">
        <f aca="false">(D5+D6+D7+D8+D9+D10+D11)/7</f>
        <v>3.78580933621793</v>
      </c>
      <c r="E13" s="84" t="n">
        <f aca="false">SUM(E5:E11)</f>
        <v>3635196</v>
      </c>
      <c r="F13" s="85" t="n">
        <f aca="false">SUM(F5:F11)</f>
        <v>12126618.6</v>
      </c>
      <c r="G13" s="86" t="n">
        <f aca="false">(G5+G6+G7+G8+G9+G10+G11)/7</f>
        <v>3.75862355584745</v>
      </c>
      <c r="H13" s="84" t="n">
        <f aca="false">SUM(H5:H11)</f>
        <v>12639379</v>
      </c>
      <c r="I13" s="86" t="n">
        <f aca="false">(I5+I6+I7+I8+I9+I10+I11)/7</f>
        <v>3.79541484912027</v>
      </c>
      <c r="J13" s="85" t="n">
        <f aca="false">SUM(J5:J11)</f>
        <v>49030442</v>
      </c>
      <c r="L13" s="95" t="n">
        <f aca="false">SUM(L5:L12)</f>
        <v>796583</v>
      </c>
      <c r="M13" s="95" t="n">
        <f aca="false">SUM(M5:M12)</f>
        <v>-7575654</v>
      </c>
      <c r="O13" s="92" t="n">
        <v>37196</v>
      </c>
      <c r="P13" s="80" t="n">
        <v>-2564363</v>
      </c>
      <c r="Q13" s="91" t="n">
        <v>5442416</v>
      </c>
    </row>
    <row r="14" customFormat="false" ht="12.75" hidden="false" customHeight="false" outlineLevel="0" collapsed="false">
      <c r="A14" s="96"/>
      <c r="B14" s="97"/>
      <c r="C14" s="98"/>
      <c r="D14" s="99"/>
      <c r="E14" s="97"/>
      <c r="F14" s="98"/>
      <c r="G14" s="99"/>
      <c r="H14" s="97"/>
      <c r="I14" s="99"/>
      <c r="J14" s="100"/>
      <c r="O14" s="92" t="n">
        <v>37226</v>
      </c>
      <c r="P14" s="80" t="n">
        <v>-4920003</v>
      </c>
      <c r="Q14" s="91" t="n">
        <v>15696427</v>
      </c>
    </row>
    <row r="15" customFormat="false" ht="12.75" hidden="false" customHeight="false" outlineLevel="0" collapsed="false">
      <c r="A15" s="101" t="s">
        <v>52</v>
      </c>
      <c r="B15" s="102" t="s">
        <v>53</v>
      </c>
      <c r="C15" s="102"/>
      <c r="D15" s="102"/>
      <c r="E15" s="103"/>
      <c r="F15" s="103"/>
      <c r="G15" s="103"/>
      <c r="H15" s="41"/>
      <c r="I15" s="103"/>
      <c r="J15" s="41"/>
      <c r="K15" s="72"/>
      <c r="O15" s="92" t="n">
        <v>37257</v>
      </c>
      <c r="P15" s="80" t="n">
        <v>-2162337</v>
      </c>
      <c r="Q15" s="91" t="n">
        <v>8143603</v>
      </c>
    </row>
    <row r="16" customFormat="false" ht="12.75" hidden="false" customHeight="false" outlineLevel="0" collapsed="false">
      <c r="A16" s="96" t="s">
        <v>11</v>
      </c>
      <c r="B16" s="97" t="s">
        <v>32</v>
      </c>
      <c r="C16" s="98" t="s">
        <v>33</v>
      </c>
      <c r="D16" s="99" t="s">
        <v>34</v>
      </c>
      <c r="E16" s="97" t="s">
        <v>35</v>
      </c>
      <c r="F16" s="98" t="s">
        <v>36</v>
      </c>
      <c r="G16" s="99" t="s">
        <v>37</v>
      </c>
      <c r="H16" s="97" t="s">
        <v>38</v>
      </c>
      <c r="I16" s="99" t="s">
        <v>39</v>
      </c>
      <c r="J16" s="100"/>
      <c r="K16" s="104"/>
      <c r="O16" s="92" t="n">
        <v>37288</v>
      </c>
      <c r="P16" s="80" t="n">
        <v>-2002604</v>
      </c>
      <c r="Q16" s="91" t="n">
        <v>12654526</v>
      </c>
    </row>
    <row r="17" customFormat="false" ht="12.75" hidden="false" customHeight="false" outlineLevel="0" collapsed="false">
      <c r="A17" s="96" t="s">
        <v>44</v>
      </c>
      <c r="B17" s="97" t="n">
        <v>2391039</v>
      </c>
      <c r="C17" s="98" t="n">
        <v>12189653</v>
      </c>
      <c r="D17" s="105" t="n">
        <f aca="false">+C17/B17</f>
        <v>5.0980569534834</v>
      </c>
      <c r="E17" s="97" t="n">
        <v>229584</v>
      </c>
      <c r="F17" s="98" t="n">
        <v>1170432.31</v>
      </c>
      <c r="G17" s="105" t="n">
        <f aca="false">+F17/E17</f>
        <v>5.09805696389992</v>
      </c>
      <c r="H17" s="97" t="n">
        <f aca="false">B17-E17</f>
        <v>2161455</v>
      </c>
      <c r="I17" s="99" t="n">
        <f aca="false">(+C17-F17)/H17</f>
        <v>5.09805695237699</v>
      </c>
      <c r="J17" s="106" t="n">
        <f aca="false">+H17*I17</f>
        <v>11019220.69</v>
      </c>
      <c r="O17" s="92" t="n">
        <v>37316</v>
      </c>
      <c r="P17" s="80" t="n">
        <v>-3302412</v>
      </c>
      <c r="Q17" s="91" t="n">
        <v>18471386</v>
      </c>
    </row>
    <row r="18" customFormat="false" ht="12.75" hidden="false" customHeight="false" outlineLevel="0" collapsed="false">
      <c r="A18" s="96" t="s">
        <v>45</v>
      </c>
      <c r="B18" s="97" t="n">
        <v>1739663</v>
      </c>
      <c r="C18" s="98" t="n">
        <v>8841334.94</v>
      </c>
      <c r="D18" s="105" t="n">
        <f aca="false">+C18/B18</f>
        <v>5.08221129034761</v>
      </c>
      <c r="E18" s="97" t="n">
        <v>451258</v>
      </c>
      <c r="F18" s="98" t="n">
        <v>2310465.24</v>
      </c>
      <c r="G18" s="105" t="n">
        <f aca="false">+F18/E18</f>
        <v>5.1200538051403</v>
      </c>
      <c r="H18" s="97" t="n">
        <f aca="false">B18-E18</f>
        <v>1288405</v>
      </c>
      <c r="I18" s="99" t="n">
        <f aca="false">(+C18-F18)/H18</f>
        <v>5.06895712140204</v>
      </c>
      <c r="J18" s="106" t="n">
        <f aca="false">+H18*I18</f>
        <v>6530869.7</v>
      </c>
      <c r="P18" s="107" t="n">
        <f aca="false">SUM(P5:P17)</f>
        <v>0</v>
      </c>
      <c r="Q18" s="91" t="n">
        <f aca="false">SUM(Q5:Q17)</f>
        <v>-49115</v>
      </c>
      <c r="R18" s="91" t="n">
        <f aca="false">+-362333+3568860</f>
        <v>3206527</v>
      </c>
    </row>
    <row r="19" customFormat="false" ht="12.75" hidden="false" customHeight="false" outlineLevel="0" collapsed="false">
      <c r="A19" s="96" t="s">
        <v>46</v>
      </c>
      <c r="B19" s="97" t="n">
        <v>2112464</v>
      </c>
      <c r="C19" s="98" t="n">
        <v>9368570.41</v>
      </c>
      <c r="D19" s="105" t="n">
        <f aca="false">+C19/B19</f>
        <v>4.43490180661067</v>
      </c>
      <c r="E19" s="97" t="n">
        <v>45000</v>
      </c>
      <c r="F19" s="98" t="n">
        <v>220081.01</v>
      </c>
      <c r="G19" s="105" t="n">
        <f aca="false">+F19/E19</f>
        <v>4.89068911111111</v>
      </c>
      <c r="H19" s="97" t="n">
        <f aca="false">B19-E19</f>
        <v>2067464</v>
      </c>
      <c r="I19" s="99" t="n">
        <f aca="false">(+C19-F19)/H19</f>
        <v>4.42498123304686</v>
      </c>
      <c r="J19" s="106" t="n">
        <f aca="false">+H19*I19</f>
        <v>9148489.4</v>
      </c>
    </row>
    <row r="20" customFormat="false" ht="12.75" hidden="false" customHeight="false" outlineLevel="0" collapsed="false">
      <c r="A20" s="96" t="s">
        <v>47</v>
      </c>
      <c r="B20" s="97" t="n">
        <v>3428938</v>
      </c>
      <c r="C20" s="98" t="n">
        <v>12377404.9</v>
      </c>
      <c r="D20" s="105" t="n">
        <f aca="false">+C20/B20</f>
        <v>3.60969049309145</v>
      </c>
      <c r="E20" s="97" t="n">
        <v>561758</v>
      </c>
      <c r="F20" s="98" t="n">
        <v>2482378.88</v>
      </c>
      <c r="G20" s="105" t="n">
        <f aca="false">+F20/E20</f>
        <v>4.41894709109617</v>
      </c>
      <c r="H20" s="97" t="n">
        <f aca="false">B20-E20</f>
        <v>2867180</v>
      </c>
      <c r="I20" s="99" t="n">
        <f aca="false">(+C20-F20)/H20</f>
        <v>3.4511352688007</v>
      </c>
      <c r="J20" s="106" t="n">
        <f aca="false">+H20*I20</f>
        <v>9895026.02</v>
      </c>
      <c r="R20" s="91" t="n">
        <f aca="false">+R18-Q18</f>
        <v>3255642</v>
      </c>
    </row>
    <row r="21" customFormat="false" ht="12.75" hidden="false" customHeight="false" outlineLevel="0" collapsed="false">
      <c r="A21" s="96" t="s">
        <v>48</v>
      </c>
      <c r="B21" s="97" t="n">
        <v>3179514</v>
      </c>
      <c r="C21" s="98" t="n">
        <v>9496114.51</v>
      </c>
      <c r="D21" s="105" t="n">
        <f aca="false">+C21/B21</f>
        <v>2.98665598264389</v>
      </c>
      <c r="E21" s="97" t="n">
        <v>966850</v>
      </c>
      <c r="F21" s="98" t="n">
        <v>3899547.93</v>
      </c>
      <c r="G21" s="105" t="n">
        <f aca="false">+F21/E21</f>
        <v>4.03325017324301</v>
      </c>
      <c r="H21" s="97" t="n">
        <f aca="false">B21-E21</f>
        <v>2212664</v>
      </c>
      <c r="I21" s="99" t="n">
        <f aca="false">(+C21-F21)/H21</f>
        <v>2.52933413297274</v>
      </c>
      <c r="J21" s="106" t="n">
        <f aca="false">+H21*I21</f>
        <v>5596566.58</v>
      </c>
    </row>
    <row r="22" customFormat="false" ht="12.75" hidden="false" customHeight="false" outlineLevel="0" collapsed="false">
      <c r="A22" s="96" t="s">
        <v>49</v>
      </c>
      <c r="B22" s="97" t="n">
        <v>1622482</v>
      </c>
      <c r="C22" s="98" t="n">
        <v>4750063.37</v>
      </c>
      <c r="D22" s="105" t="n">
        <f aca="false">+C22/B22</f>
        <v>2.92765243004237</v>
      </c>
      <c r="E22" s="97" t="n">
        <v>539879</v>
      </c>
      <c r="F22" s="98" t="n">
        <v>2099333.8</v>
      </c>
      <c r="G22" s="105" t="n">
        <f aca="false">+F22/E22</f>
        <v>3.88852650316089</v>
      </c>
      <c r="H22" s="97" t="n">
        <f aca="false">B22-E22</f>
        <v>1082603</v>
      </c>
      <c r="I22" s="99" t="n">
        <f aca="false">(+C22-F22)/H22</f>
        <v>2.44847794620928</v>
      </c>
      <c r="J22" s="106" t="n">
        <f aca="false">+H22*I22</f>
        <v>2650729.57</v>
      </c>
    </row>
    <row r="23" customFormat="false" ht="12.75" hidden="false" customHeight="false" outlineLevel="0" collapsed="false">
      <c r="A23" s="96" t="s">
        <v>50</v>
      </c>
      <c r="B23" s="97" t="n">
        <v>1679679</v>
      </c>
      <c r="C23" s="98" t="n">
        <v>3579053.41</v>
      </c>
      <c r="D23" s="105" t="n">
        <f aca="false">+C23/B23</f>
        <v>2.13079606877266</v>
      </c>
      <c r="E23" s="97" t="n">
        <v>630665</v>
      </c>
      <c r="F23" s="98" t="n">
        <v>2314131</v>
      </c>
      <c r="G23" s="105" t="n">
        <f aca="false">+F23/E23</f>
        <v>3.66935060610625</v>
      </c>
      <c r="H23" s="97" t="n">
        <f aca="false">B23-E23</f>
        <v>1049014</v>
      </c>
      <c r="I23" s="99" t="n">
        <f aca="false">(+C23-F23)/H23</f>
        <v>1.2058203322358</v>
      </c>
      <c r="J23" s="106" t="n">
        <f aca="false">+H23*I23</f>
        <v>1264922.41</v>
      </c>
    </row>
    <row r="24" customFormat="false" ht="12.75" hidden="false" customHeight="false" outlineLevel="0" collapsed="false">
      <c r="A24" s="96"/>
      <c r="B24" s="97"/>
      <c r="C24" s="98"/>
      <c r="D24" s="105"/>
      <c r="E24" s="97"/>
      <c r="F24" s="98"/>
      <c r="G24" s="105"/>
      <c r="H24" s="97"/>
      <c r="I24" s="99"/>
      <c r="J24" s="106"/>
    </row>
    <row r="25" customFormat="false" ht="12.75" hidden="false" customHeight="false" outlineLevel="0" collapsed="false">
      <c r="A25" s="96" t="s">
        <v>51</v>
      </c>
      <c r="B25" s="97" t="n">
        <f aca="false">SUM(B17:B24)</f>
        <v>16153779</v>
      </c>
      <c r="C25" s="98" t="n">
        <f aca="false">SUM(C17:C24)</f>
        <v>60602194.54</v>
      </c>
      <c r="D25" s="99" t="n">
        <f aca="false">(D17+D18+D19+D20+D21+D22+D23)/7</f>
        <v>3.75285214642744</v>
      </c>
      <c r="E25" s="97" t="n">
        <f aca="false">SUM(E17:E23)</f>
        <v>3424994</v>
      </c>
      <c r="F25" s="98" t="n">
        <f aca="false">SUM(F17:F23)</f>
        <v>14496370.17</v>
      </c>
      <c r="G25" s="99" t="n">
        <f aca="false">(G17+G18+G19+G20+G21+G22+G23)/7</f>
        <v>4.44555346482252</v>
      </c>
      <c r="H25" s="97" t="n">
        <f aca="false">SUM(H17:H23)</f>
        <v>12728785</v>
      </c>
      <c r="I25" s="99" t="n">
        <f aca="false">(I17+I18+I19+I20+I21+I22+I23)/7</f>
        <v>3.46096614100634</v>
      </c>
      <c r="J25" s="106" t="n">
        <f aca="false">SUM(J17:J23)</f>
        <v>46105824.37</v>
      </c>
    </row>
    <row r="26" customFormat="false" ht="12.75" hidden="false" customHeight="false" outlineLevel="0" collapsed="false">
      <c r="A26" s="108"/>
      <c r="B26" s="109"/>
      <c r="C26" s="110"/>
      <c r="D26" s="111"/>
      <c r="E26" s="109"/>
      <c r="F26" s="110"/>
      <c r="G26" s="111"/>
      <c r="H26" s="109"/>
      <c r="I26" s="111"/>
      <c r="J26" s="112"/>
    </row>
    <row r="27" customFormat="false" ht="12.75" hidden="false" customHeight="false" outlineLevel="0" collapsed="false">
      <c r="A27" s="108" t="s">
        <v>54</v>
      </c>
      <c r="B27" s="109"/>
      <c r="C27" s="110"/>
      <c r="D27" s="111"/>
      <c r="E27" s="109"/>
      <c r="F27" s="110"/>
      <c r="G27" s="111"/>
      <c r="H27" s="109"/>
      <c r="I27" s="111"/>
      <c r="J27" s="112"/>
    </row>
    <row r="28" customFormat="false" ht="12.75" hidden="false" customHeight="false" outlineLevel="0" collapsed="false">
      <c r="A28" s="108" t="s">
        <v>11</v>
      </c>
      <c r="B28" s="109" t="s">
        <v>32</v>
      </c>
      <c r="C28" s="110" t="s">
        <v>33</v>
      </c>
      <c r="D28" s="111" t="s">
        <v>34</v>
      </c>
      <c r="E28" s="109" t="s">
        <v>35</v>
      </c>
      <c r="F28" s="110" t="s">
        <v>36</v>
      </c>
      <c r="G28" s="111" t="s">
        <v>37</v>
      </c>
      <c r="H28" s="109" t="s">
        <v>38</v>
      </c>
      <c r="I28" s="111" t="s">
        <v>39</v>
      </c>
      <c r="J28" s="112"/>
    </row>
    <row r="29" customFormat="false" ht="12.75" hidden="false" customHeight="false" outlineLevel="0" collapsed="false">
      <c r="A29" s="108" t="s">
        <v>44</v>
      </c>
      <c r="B29" s="109" t="n">
        <f aca="false">+B5-B17</f>
        <v>-88285</v>
      </c>
      <c r="C29" s="110" t="n">
        <f aca="false">+C5-C17</f>
        <v>-423397.789999999</v>
      </c>
      <c r="D29" s="113"/>
      <c r="E29" s="109" t="n">
        <f aca="false">+E5-E17</f>
        <v>0</v>
      </c>
      <c r="F29" s="110" t="n">
        <f aca="false">+F5-F17</f>
        <v>13976.5899999999</v>
      </c>
      <c r="G29" s="113"/>
      <c r="H29" s="109" t="n">
        <f aca="false">+H5-H17</f>
        <v>-88285</v>
      </c>
      <c r="I29" s="111"/>
      <c r="J29" s="114" t="n">
        <f aca="false">+J5-J17</f>
        <v>-437374.379999999</v>
      </c>
    </row>
    <row r="30" customFormat="false" ht="12.75" hidden="false" customHeight="false" outlineLevel="0" collapsed="false">
      <c r="A30" s="108" t="s">
        <v>45</v>
      </c>
      <c r="B30" s="109" t="n">
        <f aca="false">+B6-B18</f>
        <v>0</v>
      </c>
      <c r="C30" s="110" t="n">
        <f aca="false">+C6-C18</f>
        <v>126232.720000001</v>
      </c>
      <c r="D30" s="113"/>
      <c r="E30" s="109" t="n">
        <f aca="false">+E6-E18</f>
        <v>1632</v>
      </c>
      <c r="F30" s="110" t="n">
        <f aca="false">+F6-F18</f>
        <v>-12320.3400000003</v>
      </c>
      <c r="G30" s="113"/>
      <c r="H30" s="109" t="n">
        <f aca="false">+H6-H18</f>
        <v>-1632</v>
      </c>
      <c r="I30" s="111"/>
      <c r="J30" s="114" t="n">
        <f aca="false">+J6-J18</f>
        <v>138553.060000001</v>
      </c>
    </row>
    <row r="31" customFormat="false" ht="12.75" hidden="false" customHeight="false" outlineLevel="0" collapsed="false">
      <c r="A31" s="108" t="s">
        <v>46</v>
      </c>
      <c r="B31" s="109" t="n">
        <f aca="false">+B7-B19</f>
        <v>0</v>
      </c>
      <c r="C31" s="110" t="n">
        <f aca="false">+C7-C19</f>
        <v>160531.98</v>
      </c>
      <c r="D31" s="113"/>
      <c r="E31" s="109" t="n">
        <f aca="false">+E7-E19</f>
        <v>0</v>
      </c>
      <c r="F31" s="110" t="n">
        <f aca="false">+F7-F19</f>
        <v>-28381.01</v>
      </c>
      <c r="G31" s="113"/>
      <c r="H31" s="109" t="n">
        <f aca="false">+H7-H19</f>
        <v>0</v>
      </c>
      <c r="I31" s="111"/>
      <c r="J31" s="114" t="n">
        <f aca="false">+J7-J19</f>
        <v>188912.99</v>
      </c>
    </row>
    <row r="32" customFormat="false" ht="12.75" hidden="false" customHeight="false" outlineLevel="0" collapsed="false">
      <c r="A32" s="108" t="s">
        <v>47</v>
      </c>
      <c r="B32" s="109" t="n">
        <f aca="false">+B8-B20</f>
        <v>0</v>
      </c>
      <c r="C32" s="110" t="n">
        <f aca="false">+C8-C20</f>
        <v>-7246.49000000022</v>
      </c>
      <c r="D32" s="113"/>
      <c r="E32" s="109" t="n">
        <f aca="false">+E8-E20</f>
        <v>0</v>
      </c>
      <c r="F32" s="110" t="n">
        <f aca="false">+F8-F20</f>
        <v>-342869.8</v>
      </c>
      <c r="G32" s="113"/>
      <c r="H32" s="109" t="n">
        <f aca="false">+H8-H20</f>
        <v>0</v>
      </c>
      <c r="I32" s="111"/>
      <c r="J32" s="114" t="n">
        <f aca="false">+J8-J20</f>
        <v>335623.310000001</v>
      </c>
    </row>
    <row r="33" customFormat="false" ht="12.75" hidden="false" customHeight="false" outlineLevel="0" collapsed="false">
      <c r="A33" s="108" t="s">
        <v>48</v>
      </c>
      <c r="B33" s="109" t="n">
        <f aca="false">+B9-B21</f>
        <v>-759</v>
      </c>
      <c r="C33" s="110" t="n">
        <f aca="false">+C9-C21</f>
        <v>86072.6699999999</v>
      </c>
      <c r="D33" s="113"/>
      <c r="E33" s="109" t="n">
        <f aca="false">+E9-E21</f>
        <v>-10759</v>
      </c>
      <c r="F33" s="110" t="n">
        <f aca="false">+F9-F21</f>
        <v>-1027878.81</v>
      </c>
      <c r="G33" s="113"/>
      <c r="H33" s="109" t="n">
        <f aca="false">+H9-H21</f>
        <v>10000</v>
      </c>
      <c r="I33" s="111"/>
      <c r="J33" s="114" t="n">
        <f aca="false">+J9-J21</f>
        <v>1113951.48</v>
      </c>
    </row>
    <row r="34" customFormat="false" ht="12.75" hidden="false" customHeight="false" outlineLevel="0" collapsed="false">
      <c r="A34" s="108" t="s">
        <v>49</v>
      </c>
      <c r="B34" s="109" t="n">
        <f aca="false">+B10-B22</f>
        <v>108549</v>
      </c>
      <c r="C34" s="110" t="n">
        <f aca="false">+C10-C22</f>
        <v>348384.4</v>
      </c>
      <c r="D34" s="113"/>
      <c r="E34" s="109" t="n">
        <f aca="false">+E10-E22</f>
        <v>118372</v>
      </c>
      <c r="F34" s="110" t="n">
        <f aca="false">+F10-F22</f>
        <v>-121148.5</v>
      </c>
      <c r="G34" s="113"/>
      <c r="H34" s="109" t="n">
        <f aca="false">+H10-H22</f>
        <v>-9823</v>
      </c>
      <c r="I34" s="111"/>
      <c r="J34" s="114" t="n">
        <f aca="false">+J10-J22</f>
        <v>469532.9</v>
      </c>
    </row>
    <row r="35" customFormat="false" ht="12.75" hidden="false" customHeight="false" outlineLevel="0" collapsed="false">
      <c r="A35" s="108" t="s">
        <v>50</v>
      </c>
      <c r="B35" s="109" t="n">
        <f aca="false">+B11-B23</f>
        <v>101291</v>
      </c>
      <c r="C35" s="110" t="n">
        <f aca="false">+C11-C23</f>
        <v>264288.569999999</v>
      </c>
      <c r="D35" s="113"/>
      <c r="E35" s="109" t="n">
        <f aca="false">+E11-E23</f>
        <v>100957</v>
      </c>
      <c r="F35" s="110" t="n">
        <f aca="false">+F11-F23</f>
        <v>-851129.7</v>
      </c>
      <c r="G35" s="113"/>
      <c r="H35" s="109" t="n">
        <f aca="false">+H11-H23</f>
        <v>334</v>
      </c>
      <c r="I35" s="111"/>
      <c r="J35" s="114" t="n">
        <f aca="false">+J11-J23</f>
        <v>1115418.27</v>
      </c>
    </row>
    <row r="36" customFormat="false" ht="12.75" hidden="false" customHeight="false" outlineLevel="0" collapsed="false">
      <c r="A36" s="108"/>
      <c r="B36" s="109"/>
      <c r="C36" s="110"/>
      <c r="D36" s="111"/>
      <c r="E36" s="109"/>
      <c r="F36" s="110"/>
      <c r="G36" s="111"/>
      <c r="H36" s="109"/>
      <c r="I36" s="111"/>
      <c r="J36" s="112"/>
    </row>
    <row r="37" customFormat="false" ht="12.75" hidden="false" customHeight="false" outlineLevel="0" collapsed="false">
      <c r="A37" s="108" t="s">
        <v>51</v>
      </c>
      <c r="B37" s="109" t="n">
        <f aca="false">SUM(B29:B36)</f>
        <v>120796</v>
      </c>
      <c r="C37" s="110" t="n">
        <f aca="false">SUM(C29:C36)</f>
        <v>554866.060000002</v>
      </c>
      <c r="D37" s="111" t="n">
        <f aca="false">(D29+D30+D31+D32+D33+D34+D35)/7</f>
        <v>0</v>
      </c>
      <c r="E37" s="109" t="n">
        <f aca="false">SUM(E29:E35)</f>
        <v>210202</v>
      </c>
      <c r="F37" s="110" t="n">
        <f aca="false">SUM(F29:F35)</f>
        <v>-2369751.57</v>
      </c>
      <c r="G37" s="111" t="n">
        <f aca="false">(G29+G30+G31+G32+G33+G34+G35)/7</f>
        <v>0</v>
      </c>
      <c r="H37" s="109" t="n">
        <f aca="false">SUM(H29:H35)</f>
        <v>-89406</v>
      </c>
      <c r="I37" s="111" t="n">
        <f aca="false">(I29+I30+I31+I32+I33+I34+I35)/7</f>
        <v>0</v>
      </c>
      <c r="J37" s="114" t="n">
        <f aca="false">SUM(J29:J35)</f>
        <v>2924617.63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2001-09-19T14:08:09Z</dcterms:created>
  <dc:creator>lfascett</dc:creator>
  <dc:description/>
  <dc:language>en-US</dc:language>
  <cp:lastModifiedBy>plove</cp:lastModifiedBy>
  <cp:lastPrinted>2001-10-01T18:07:42Z</cp:lastPrinted>
  <dcterms:modified xsi:type="dcterms:W3CDTF">2001-10-17T19:33:39Z</dcterms:modified>
  <cp:revision>0</cp:revision>
  <dc:subject/>
  <dc:title/>
</cp:coreProperties>
</file>