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NG" sheetId="1" state="visible" r:id="rId3"/>
    <sheet name="TW" sheetId="2" state="visible" r:id="rId4"/>
    <sheet name="Sheet3" sheetId="3" state="visible" r:id="rId5"/>
  </sheets>
  <definedNames>
    <definedName function="false" hidden="false" localSheetId="0" name="_xlnm.Print_Area" vbProcedure="false">NNG!$A$1:$Z$48</definedName>
    <definedName function="false" hidden="false" localSheetId="1" name="_xlnm.Print_Area" vbProcedure="false">TW!$A$1:$Z$48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<sst xmlns="http://schemas.openxmlformats.org/spreadsheetml/2006/main" count="143" uniqueCount="63">
  <si>
    <t xml:space="preserve">DIRECT  O &amp; M COSTS</t>
  </si>
  <si>
    <t xml:space="preserve">2001 - 2003 PLAN</t>
  </si>
  <si>
    <t xml:space="preserve">NORTHERN NATURAL GAS COMPANY</t>
  </si>
  <si>
    <t xml:space="preserve">( $ In Millions)</t>
  </si>
  <si>
    <t xml:space="preserve">2001 Plan</t>
  </si>
  <si>
    <t xml:space="preserve">Project</t>
  </si>
  <si>
    <t xml:space="preserve">1999 Actuals</t>
  </si>
  <si>
    <t xml:space="preserve">2000 Plan</t>
  </si>
  <si>
    <t xml:space="preserve">Specific</t>
  </si>
  <si>
    <t xml:space="preserve">Overhead</t>
  </si>
  <si>
    <t xml:space="preserve">Gross O&amp;M</t>
  </si>
  <si>
    <t xml:space="preserve">Gross</t>
  </si>
  <si>
    <t xml:space="preserve">Capital</t>
  </si>
  <si>
    <t xml:space="preserve">Net</t>
  </si>
  <si>
    <t xml:space="preserve">% O(U)</t>
  </si>
  <si>
    <t xml:space="preserve">Department</t>
  </si>
  <si>
    <t xml:space="preserve">O &amp; M</t>
  </si>
  <si>
    <t xml:space="preserve">Marketing</t>
  </si>
  <si>
    <t xml:space="preserve">/1</t>
  </si>
  <si>
    <t xml:space="preserve">/5</t>
  </si>
  <si>
    <t xml:space="preserve">Revenue Management - Ph. I Amortization</t>
  </si>
  <si>
    <t xml:space="preserve">/6</t>
  </si>
  <si>
    <t xml:space="preserve">Business Services</t>
  </si>
  <si>
    <t xml:space="preserve">Regulatory Affairs</t>
  </si>
  <si>
    <t xml:space="preserve">/2</t>
  </si>
  <si>
    <t xml:space="preserve">    Subtotal Commercial</t>
  </si>
  <si>
    <t xml:space="preserve">Market Services</t>
  </si>
  <si>
    <t xml:space="preserve">Finance &amp; Accounting</t>
  </si>
  <si>
    <t xml:space="preserve">Executive</t>
  </si>
  <si>
    <t xml:space="preserve">Operations</t>
  </si>
  <si>
    <t xml:space="preserve">/3</t>
  </si>
  <si>
    <t xml:space="preserve">Information Technology</t>
  </si>
  <si>
    <t xml:space="preserve">/4</t>
  </si>
  <si>
    <t xml:space="preserve">Rent - Omaha (Business Services)</t>
  </si>
  <si>
    <t xml:space="preserve">Total Direct</t>
  </si>
  <si>
    <t xml:space="preserve">G &amp; A Expense</t>
  </si>
  <si>
    <t xml:space="preserve">  OI Amortization (F&amp;A)</t>
  </si>
  <si>
    <t xml:space="preserve">  KN Reimbursement (OPS)</t>
  </si>
  <si>
    <t xml:space="preserve">  Beck Settlement (F&amp;A)</t>
  </si>
  <si>
    <t xml:space="preserve">  PROS Write-off (MKT)</t>
  </si>
  <si>
    <t xml:space="preserve">  Remediation Costs (OPS)</t>
  </si>
  <si>
    <t xml:space="preserve">  Variable Pay, Annual Incentive (F&amp;A)</t>
  </si>
  <si>
    <t xml:space="preserve">  Other (F&amp;A)</t>
  </si>
  <si>
    <t xml:space="preserve">Total G&amp;A Expense</t>
  </si>
  <si>
    <t xml:space="preserve">/1 restated to reflect capitalized revenue management expense $.265MM</t>
  </si>
  <si>
    <t xml:space="preserve">/2  restated to reflect capitalized regulatory commission expense of $.240MM and removal of Washington DC Office $.086MM</t>
  </si>
  <si>
    <t xml:space="preserve">/3 restated to reflect $1MM to IT Systems and added $1.4MM overhaul overhead dollars</t>
  </si>
  <si>
    <t xml:space="preserve">/4  restated to reflect reorganization $6.7MM</t>
  </si>
  <si>
    <t xml:space="preserve">/5 Does not include Dan McCarty's o&amp;m</t>
  </si>
  <si>
    <t xml:space="preserve">/6  Non-Cash (Cash included in Capital budget)</t>
  </si>
  <si>
    <t xml:space="preserve">TRANSWESTERN PIPELINE COMPANY</t>
  </si>
  <si>
    <t xml:space="preserve">Subtotal Commercial</t>
  </si>
  <si>
    <t xml:space="preserve">Rent, other  (Omaha)</t>
  </si>
  <si>
    <t xml:space="preserve">  PCB Testing - SoCal (OPS)</t>
  </si>
  <si>
    <t xml:space="preserve">  PCB Testing - PG&amp;E (OPS)</t>
  </si>
  <si>
    <t xml:space="preserve">  Fuji Lease (F&amp;A)</t>
  </si>
  <si>
    <t xml:space="preserve">  Environmental Remediation  (OPS)</t>
  </si>
  <si>
    <t xml:space="preserve">  Variable Costs, Annual Incentive (F&amp;A)</t>
  </si>
  <si>
    <t xml:space="preserve">/1  restated to reflect capitalized revenue management expenses $.17MM</t>
  </si>
  <si>
    <t xml:space="preserve">/2  restated to reflect removal of Washington DC office $.054MM</t>
  </si>
  <si>
    <t xml:space="preserve">/3 restated to reflect $.3MM to IT Systems and added $1.0MM overhaul overhead dollars</t>
  </si>
  <si>
    <t xml:space="preserve">/4  restated to reflect reorganization, $2.7MM</t>
  </si>
  <si>
    <t xml:space="preserve">/5  Does not include Dan McCarty's o&amp;m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</si>
</sst>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(* #,##0.00_);_(* \(#,##0.00\);_(* \-??_);_(@_)"/>
    <numFmt numFmtId="166" formatCode="_(* #,##0.0_);_(* \(#,##0.0\);_(* \-??_);_(@_)"/>
    <numFmt numFmtId="167" formatCode="0%"/>
    <numFmt numFmtId="168" formatCode="0.0%"/>
    <numFmt numFmtId="169" formatCode="[$-409]m/d/yyyy\ h: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3.2" customHeight="true" zeroHeight="false" outlineLevelRow="0" outlineLevelCol="0"/>
  <cols>
    <col collapsed="false" customWidth="true" hidden="false" outlineLevel="0" max="1" min="1" style="0" width="12.32"/>
    <col collapsed="false" customWidth="true" hidden="false" outlineLevel="0" max="3" min="3" style="0" width="12.43"/>
    <col collapsed="false" customWidth="true" hidden="false" outlineLevel="0" max="4" min="4" style="0" width="2.1"/>
    <col collapsed="false" customWidth="true" hidden="false" outlineLevel="0" max="5" min="5" style="0" width="10.66"/>
    <col collapsed="false" customWidth="true" hidden="false" outlineLevel="0" max="6" min="6" style="0" width="2.1"/>
    <col collapsed="false" customWidth="true" hidden="false" outlineLevel="0" max="7" min="7" style="0" width="10.66"/>
    <col collapsed="false" customWidth="true" hidden="false" outlineLevel="0" max="8" min="8" style="0" width="2.1"/>
    <col collapsed="false" customWidth="true" hidden="false" outlineLevel="0" max="9" min="9" style="0" width="10.1"/>
    <col collapsed="false" customWidth="true" hidden="false" outlineLevel="0" max="10" min="10" style="0" width="2.88"/>
    <col collapsed="false" customWidth="true" hidden="false" outlineLevel="0" max="12" min="12" style="0" width="3.87"/>
    <col collapsed="false" customWidth="true" hidden="false" outlineLevel="0" max="14" min="14" style="0" width="3.43"/>
    <col collapsed="false" customWidth="true" hidden="false" outlineLevel="0" max="16" min="16" style="0" width="4.66"/>
    <col collapsed="false" customWidth="true" hidden="false" outlineLevel="0" max="18" min="18" style="0" width="3.87"/>
    <col collapsed="false" customWidth="true" hidden="false" outlineLevel="0" max="20" min="20" style="0" width="1.55"/>
    <col collapsed="false" customWidth="true" hidden="false" outlineLevel="0" max="21" min="21" style="0" width="9.87"/>
    <col collapsed="false" customWidth="true" hidden="false" outlineLevel="0" max="22" min="22" style="0" width="2.1"/>
    <col collapsed="false" customWidth="true" hidden="false" outlineLevel="0" max="24" min="24" style="0" width="4.21"/>
    <col collapsed="false" customWidth="true" hidden="false" outlineLevel="0" max="25" min="25" style="0" width="11.66"/>
    <col collapsed="false" customWidth="true" hidden="false" outlineLevel="0" max="26" min="26" style="0" width="1.87"/>
  </cols>
  <sheetData>
    <row r="1" customFormat="false" ht="15.6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5.6" hidden="false" customHeight="false" outlineLevel="0" collapsed="false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customFormat="false" ht="15.6" hidden="false" customHeight="false" outlineLevel="0" collapsed="false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customFormat="false" ht="15.6" hidden="false" customHeight="false" outlineLevel="0" collapsed="false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6" customFormat="false" ht="13.2" hidden="false" customHeight="false" outlineLevel="0" collapsed="false">
      <c r="A6" s="3"/>
    </row>
    <row r="7" customFormat="false" ht="13.2" hidden="false" customHeight="false" outlineLevel="0" collapsed="false">
      <c r="Q7" s="4" t="s">
        <v>4</v>
      </c>
      <c r="R7" s="4"/>
      <c r="S7" s="4"/>
      <c r="T7" s="4"/>
      <c r="U7" s="4"/>
      <c r="V7" s="4"/>
      <c r="W7" s="4"/>
    </row>
    <row r="8" customFormat="false" ht="13.2" hidden="false" customHeight="false" outlineLevel="0" collapsed="false">
      <c r="S8" s="5" t="s">
        <v>5</v>
      </c>
    </row>
    <row r="9" customFormat="false" ht="13.2" hidden="false" customHeight="false" outlineLevel="0" collapsed="false">
      <c r="E9" s="4" t="s">
        <v>6</v>
      </c>
      <c r="F9" s="4"/>
      <c r="G9" s="4"/>
      <c r="H9" s="4"/>
      <c r="I9" s="4"/>
      <c r="K9" s="4" t="s">
        <v>7</v>
      </c>
      <c r="L9" s="4"/>
      <c r="M9" s="4"/>
      <c r="N9" s="4"/>
      <c r="O9" s="4"/>
      <c r="S9" s="5" t="s">
        <v>8</v>
      </c>
      <c r="U9" s="3" t="s">
        <v>9</v>
      </c>
      <c r="Y9" s="5" t="s">
        <v>10</v>
      </c>
    </row>
    <row r="10" customFormat="false" ht="13.2" hidden="false" customHeight="false" outlineLevel="0" collapsed="false">
      <c r="E10" s="5" t="s">
        <v>11</v>
      </c>
      <c r="F10" s="5"/>
      <c r="G10" s="5" t="s">
        <v>12</v>
      </c>
      <c r="H10" s="5"/>
      <c r="I10" s="5" t="s">
        <v>13</v>
      </c>
      <c r="K10" s="5" t="s">
        <v>11</v>
      </c>
      <c r="L10" s="5"/>
      <c r="M10" s="5" t="s">
        <v>12</v>
      </c>
      <c r="N10" s="5"/>
      <c r="O10" s="5" t="s">
        <v>13</v>
      </c>
      <c r="Q10" s="5" t="s">
        <v>11</v>
      </c>
      <c r="S10" s="5" t="s">
        <v>12</v>
      </c>
      <c r="U10" s="5" t="s">
        <v>12</v>
      </c>
      <c r="V10" s="5"/>
      <c r="W10" s="5" t="s">
        <v>13</v>
      </c>
      <c r="Y10" s="6" t="s">
        <v>14</v>
      </c>
    </row>
    <row r="11" customFormat="false" ht="13.2" hidden="false" customHeight="false" outlineLevel="0" collapsed="false">
      <c r="A11" s="4" t="s">
        <v>15</v>
      </c>
      <c r="B11" s="4"/>
      <c r="C11" s="4"/>
      <c r="E11" s="4" t="s">
        <v>16</v>
      </c>
      <c r="F11" s="5"/>
      <c r="G11" s="4" t="s">
        <v>16</v>
      </c>
      <c r="H11" s="5"/>
      <c r="I11" s="4" t="s">
        <v>16</v>
      </c>
      <c r="K11" s="4" t="s">
        <v>16</v>
      </c>
      <c r="L11" s="5"/>
      <c r="M11" s="4" t="s">
        <v>16</v>
      </c>
      <c r="N11" s="5"/>
      <c r="O11" s="4" t="s">
        <v>16</v>
      </c>
      <c r="Q11" s="4" t="s">
        <v>16</v>
      </c>
      <c r="S11" s="4" t="s">
        <v>16</v>
      </c>
      <c r="U11" s="4" t="s">
        <v>16</v>
      </c>
      <c r="V11" s="5"/>
      <c r="W11" s="4" t="s">
        <v>16</v>
      </c>
      <c r="X11" s="7"/>
      <c r="Y11" s="4" t="s">
        <v>7</v>
      </c>
      <c r="Z11" s="7"/>
      <c r="AA11" s="7"/>
      <c r="AB11" s="7"/>
    </row>
    <row r="12" customFormat="false" ht="13.2" hidden="false" customHeight="false" outlineLevel="0" collapsed="false">
      <c r="A12" s="0" t="s">
        <v>17</v>
      </c>
      <c r="E12" s="8" t="n">
        <f aca="false">10.3+0.4-0.4</f>
        <v>10.3</v>
      </c>
      <c r="F12" s="8"/>
      <c r="G12" s="8" t="n">
        <v>0.5</v>
      </c>
      <c r="H12" s="8"/>
      <c r="I12" s="8" t="n">
        <f aca="false">+E12-G12</f>
        <v>9.8</v>
      </c>
      <c r="K12" s="8" t="n">
        <f aca="false">10.663+0.08+0.265+0.009</f>
        <v>11.017</v>
      </c>
      <c r="L12" s="9" t="s">
        <v>18</v>
      </c>
      <c r="M12" s="8" t="n">
        <f aca="false">0.564+0.265</f>
        <v>0.829</v>
      </c>
      <c r="N12" s="9" t="s">
        <v>18</v>
      </c>
      <c r="O12" s="8" t="n">
        <f aca="false">+K12-M12</f>
        <v>10.188</v>
      </c>
      <c r="P12" s="8"/>
      <c r="Q12" s="8" t="n">
        <f aca="false">10.569</f>
        <v>10.569</v>
      </c>
      <c r="R12" s="9" t="s">
        <v>19</v>
      </c>
      <c r="S12" s="8" t="n">
        <f aca="false">0.1</f>
        <v>0.1</v>
      </c>
      <c r="T12" s="8"/>
      <c r="U12" s="8" t="n">
        <v>0.7</v>
      </c>
      <c r="V12" s="8"/>
      <c r="W12" s="8" t="n">
        <f aca="false">+Q12-S12-U12</f>
        <v>9.769</v>
      </c>
      <c r="Y12" s="10" t="n">
        <f aca="false">-448.4/11017</f>
        <v>-0.0407007352273759</v>
      </c>
    </row>
    <row r="13" customFormat="false" ht="13.2" hidden="false" customHeight="false" outlineLevel="0" collapsed="false">
      <c r="A13" s="0" t="s">
        <v>20</v>
      </c>
      <c r="E13" s="8" t="n">
        <v>0</v>
      </c>
      <c r="F13" s="8"/>
      <c r="G13" s="8" t="n">
        <v>0</v>
      </c>
      <c r="H13" s="8"/>
      <c r="I13" s="8" t="n">
        <f aca="false">+E13-G13</f>
        <v>0</v>
      </c>
      <c r="K13" s="8" t="n">
        <v>0</v>
      </c>
      <c r="L13" s="9"/>
      <c r="M13" s="8" t="n">
        <v>0</v>
      </c>
      <c r="N13" s="9"/>
      <c r="O13" s="8" t="n">
        <f aca="false">+K13-M13</f>
        <v>0</v>
      </c>
      <c r="P13" s="8"/>
      <c r="Q13" s="8" t="n">
        <v>0.914</v>
      </c>
      <c r="R13" s="9"/>
      <c r="S13" s="8" t="n">
        <v>0</v>
      </c>
      <c r="T13" s="8"/>
      <c r="U13" s="8" t="n">
        <v>0</v>
      </c>
      <c r="V13" s="8"/>
      <c r="W13" s="8" t="n">
        <f aca="false">+Q13-S13-U13</f>
        <v>0.914</v>
      </c>
      <c r="X13" s="9" t="s">
        <v>21</v>
      </c>
      <c r="Y13" s="10" t="n">
        <v>1</v>
      </c>
    </row>
    <row r="14" customFormat="false" ht="13.2" hidden="false" customHeight="false" outlineLevel="0" collapsed="false">
      <c r="A14" s="0" t="s">
        <v>22</v>
      </c>
      <c r="E14" s="8" t="n">
        <f aca="false">4.1-2.1-0.9+0.4</f>
        <v>1.5</v>
      </c>
      <c r="F14" s="8"/>
      <c r="G14" s="8" t="n">
        <v>0.2</v>
      </c>
      <c r="H14" s="8"/>
      <c r="I14" s="8" t="n">
        <f aca="false">+E14-G14</f>
        <v>1.3</v>
      </c>
      <c r="K14" s="8" t="n">
        <f aca="false">4.91-2.1-0.9-0.1</f>
        <v>1.81</v>
      </c>
      <c r="L14" s="8"/>
      <c r="M14" s="8" t="n">
        <f aca="false">0.031</f>
        <v>0.031</v>
      </c>
      <c r="N14" s="8"/>
      <c r="O14" s="8" t="n">
        <f aca="false">+K14-M14</f>
        <v>1.779</v>
      </c>
      <c r="P14" s="8"/>
      <c r="Q14" s="8" t="n">
        <f aca="false">4.8-3.1-0.009</f>
        <v>1.691</v>
      </c>
      <c r="R14" s="8"/>
      <c r="S14" s="8" t="n">
        <f aca="false">0</f>
        <v>0</v>
      </c>
      <c r="T14" s="8"/>
      <c r="U14" s="8" t="n">
        <f aca="false">0.5-0.5</f>
        <v>0</v>
      </c>
      <c r="V14" s="8"/>
      <c r="W14" s="8" t="n">
        <f aca="false">+Q14-S14-U14</f>
        <v>1.691</v>
      </c>
      <c r="Y14" s="10" t="n">
        <f aca="false">-102.4/1810</f>
        <v>-0.0565745856353591</v>
      </c>
    </row>
    <row r="15" customFormat="false" ht="13.2" hidden="false" customHeight="false" outlineLevel="0" collapsed="false">
      <c r="A15" s="0" t="s">
        <v>23</v>
      </c>
      <c r="E15" s="11" t="n">
        <v>1.6</v>
      </c>
      <c r="F15" s="8"/>
      <c r="G15" s="11" t="n">
        <v>0.3</v>
      </c>
      <c r="H15" s="8"/>
      <c r="I15" s="11" t="n">
        <f aca="false">+E15-G15</f>
        <v>1.3</v>
      </c>
      <c r="K15" s="11" t="n">
        <f aca="false">1.805-0.086+0.24</f>
        <v>1.959</v>
      </c>
      <c r="L15" s="9" t="s">
        <v>24</v>
      </c>
      <c r="M15" s="11" t="n">
        <f aca="false">0.387-0.025+0.24</f>
        <v>0.602</v>
      </c>
      <c r="N15" s="9" t="s">
        <v>24</v>
      </c>
      <c r="O15" s="11" t="n">
        <f aca="false">+K15-M15</f>
        <v>1.357</v>
      </c>
      <c r="P15" s="8"/>
      <c r="Q15" s="11" t="n">
        <f aca="false">1.812-0.009</f>
        <v>1.803</v>
      </c>
      <c r="R15" s="8"/>
      <c r="S15" s="11" t="n">
        <v>0.205</v>
      </c>
      <c r="T15" s="8"/>
      <c r="U15" s="11" t="n">
        <v>0.371</v>
      </c>
      <c r="V15" s="8"/>
      <c r="W15" s="11" t="n">
        <f aca="false">+Q15-S15-U15</f>
        <v>1.227</v>
      </c>
      <c r="Y15" s="12" t="n">
        <f aca="false">-155.5/1959</f>
        <v>-0.0793772332822869</v>
      </c>
    </row>
    <row r="16" customFormat="false" ht="13.2" hidden="false" customHeight="false" outlineLevel="0" collapsed="false">
      <c r="A16" s="0" t="s">
        <v>25</v>
      </c>
      <c r="E16" s="8" t="n">
        <f aca="false">SUM(E12:E15)</f>
        <v>13.4</v>
      </c>
      <c r="F16" s="8"/>
      <c r="G16" s="8" t="n">
        <f aca="false">SUM(G12:G15)</f>
        <v>1</v>
      </c>
      <c r="H16" s="8"/>
      <c r="I16" s="8" t="n">
        <f aca="false">SUM(I12:I15)</f>
        <v>12.4</v>
      </c>
      <c r="K16" s="8" t="n">
        <f aca="false">SUM(K12:K15)</f>
        <v>14.786</v>
      </c>
      <c r="L16" s="9"/>
      <c r="M16" s="8" t="n">
        <f aca="false">SUM(M12:M15)</f>
        <v>1.462</v>
      </c>
      <c r="N16" s="9"/>
      <c r="O16" s="8" t="n">
        <f aca="false">SUM(O12:O15)</f>
        <v>13.324</v>
      </c>
      <c r="P16" s="8"/>
      <c r="Q16" s="8" t="n">
        <f aca="false">SUM(Q12:Q15)</f>
        <v>14.977</v>
      </c>
      <c r="R16" s="8"/>
      <c r="S16" s="8" t="n">
        <f aca="false">SUM(S12:S15)</f>
        <v>0.305</v>
      </c>
      <c r="T16" s="8"/>
      <c r="U16" s="8" t="n">
        <f aca="false">SUM(U12:U15)</f>
        <v>1.071</v>
      </c>
      <c r="V16" s="8"/>
      <c r="W16" s="8" t="n">
        <f aca="false">SUM(W12:W15)</f>
        <v>13.601</v>
      </c>
      <c r="Y16" s="10" t="n">
        <f aca="false">(Q16-K16)/K16</f>
        <v>0.0129176247801975</v>
      </c>
      <c r="AA16" s="10"/>
    </row>
    <row r="17" customFormat="false" ht="13.2" hidden="false" customHeight="false" outlineLevel="0" collapsed="false">
      <c r="E17" s="8"/>
      <c r="F17" s="8"/>
      <c r="G17" s="8"/>
      <c r="H17" s="8"/>
      <c r="I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customFormat="false" ht="13.2" hidden="false" customHeight="false" outlineLevel="0" collapsed="false">
      <c r="A18" s="0" t="s">
        <v>26</v>
      </c>
      <c r="E18" s="8" t="n">
        <v>5.7</v>
      </c>
      <c r="F18" s="8"/>
      <c r="G18" s="8" t="n">
        <v>0.3</v>
      </c>
      <c r="H18" s="8"/>
      <c r="I18" s="8" t="n">
        <f aca="false">+E18-G18</f>
        <v>5.4</v>
      </c>
      <c r="K18" s="8" t="n">
        <v>5.7</v>
      </c>
      <c r="L18" s="8"/>
      <c r="M18" s="8" t="n">
        <v>0.5</v>
      </c>
      <c r="N18" s="8"/>
      <c r="O18" s="8" t="n">
        <f aca="false">+K18-M18</f>
        <v>5.2</v>
      </c>
      <c r="P18" s="8"/>
      <c r="Q18" s="8" t="n">
        <v>5.48</v>
      </c>
      <c r="R18" s="8"/>
      <c r="S18" s="8" t="n">
        <v>0.5</v>
      </c>
      <c r="T18" s="8"/>
      <c r="U18" s="8" t="n">
        <f aca="false">0</f>
        <v>0</v>
      </c>
      <c r="V18" s="8"/>
      <c r="W18" s="8" t="n">
        <f aca="false">+Q18-S18-U18</f>
        <v>4.98</v>
      </c>
      <c r="Y18" s="10" t="n">
        <f aca="false">(Q18-K18)/K18</f>
        <v>-0.0385964912280701</v>
      </c>
    </row>
    <row r="19" customFormat="false" ht="13.2" hidden="false" customHeight="false" outlineLevel="0" collapsed="false">
      <c r="A19" s="0" t="s">
        <v>27</v>
      </c>
      <c r="E19" s="8" t="n">
        <v>1.8</v>
      </c>
      <c r="F19" s="8"/>
      <c r="G19" s="8" t="n">
        <v>0.3</v>
      </c>
      <c r="H19" s="8"/>
      <c r="I19" s="8" t="n">
        <f aca="false">+E19-G19</f>
        <v>1.5</v>
      </c>
      <c r="K19" s="8" t="n">
        <v>2</v>
      </c>
      <c r="L19" s="8"/>
      <c r="M19" s="8" t="n">
        <v>0.4</v>
      </c>
      <c r="N19" s="8"/>
      <c r="O19" s="8" t="n">
        <f aca="false">+K19-M19</f>
        <v>1.6</v>
      </c>
      <c r="P19" s="8"/>
      <c r="Q19" s="8" t="n">
        <v>1.9</v>
      </c>
      <c r="R19" s="8"/>
      <c r="S19" s="8" t="n">
        <f aca="false">0</f>
        <v>0</v>
      </c>
      <c r="T19" s="8"/>
      <c r="U19" s="8" t="n">
        <v>0.4</v>
      </c>
      <c r="V19" s="8"/>
      <c r="W19" s="8" t="n">
        <f aca="false">+Q19-S19-U19</f>
        <v>1.5</v>
      </c>
      <c r="Y19" s="10" t="n">
        <f aca="false">(Q19-K19)/K19</f>
        <v>-0.05</v>
      </c>
    </row>
    <row r="20" customFormat="false" ht="13.2" hidden="false" customHeight="false" outlineLevel="0" collapsed="false">
      <c r="A20" s="0" t="s">
        <v>28</v>
      </c>
      <c r="E20" s="8" t="n">
        <v>0.4</v>
      </c>
      <c r="F20" s="8"/>
      <c r="G20" s="8" t="n">
        <v>0.1</v>
      </c>
      <c r="H20" s="8"/>
      <c r="I20" s="8" t="n">
        <f aca="false">+E20-G20</f>
        <v>0.3</v>
      </c>
      <c r="K20" s="8" t="n">
        <v>0.4</v>
      </c>
      <c r="L20" s="8"/>
      <c r="M20" s="8" t="n">
        <v>0.1</v>
      </c>
      <c r="N20" s="8"/>
      <c r="O20" s="8" t="n">
        <f aca="false">+K20-M20</f>
        <v>0.3</v>
      </c>
      <c r="P20" s="8"/>
      <c r="Q20" s="8" t="n">
        <v>0.1</v>
      </c>
      <c r="R20" s="8"/>
      <c r="S20" s="8" t="n">
        <f aca="false">0</f>
        <v>0</v>
      </c>
      <c r="T20" s="8"/>
      <c r="U20" s="8" t="n">
        <f aca="false">0</f>
        <v>0</v>
      </c>
      <c r="V20" s="8"/>
      <c r="W20" s="8" t="n">
        <f aca="false">+Q20-S20-U20</f>
        <v>0.1</v>
      </c>
      <c r="Y20" s="10" t="n">
        <f aca="false">(Q20-K20)/K20</f>
        <v>-0.75</v>
      </c>
    </row>
    <row r="21" customFormat="false" ht="13.2" hidden="false" customHeight="false" outlineLevel="0" collapsed="false">
      <c r="A21" s="0" t="s">
        <v>29</v>
      </c>
      <c r="E21" s="8" t="n">
        <v>106.1</v>
      </c>
      <c r="F21" s="8"/>
      <c r="G21" s="8" t="n">
        <v>13</v>
      </c>
      <c r="H21" s="8"/>
      <c r="I21" s="8" t="n">
        <f aca="false">+E21-G21</f>
        <v>93.1</v>
      </c>
      <c r="J21" s="8"/>
      <c r="K21" s="8" t="n">
        <f aca="false">102.269+1.3+0.142-0.99</f>
        <v>102.721</v>
      </c>
      <c r="L21" s="9" t="s">
        <v>30</v>
      </c>
      <c r="M21" s="8" t="n">
        <f aca="false">12.391+1.3+0.142-0.253</f>
        <v>13.58</v>
      </c>
      <c r="N21" s="9" t="s">
        <v>30</v>
      </c>
      <c r="O21" s="8" t="n">
        <f aca="false">+K21-M21</f>
        <v>89.141</v>
      </c>
      <c r="P21" s="8"/>
      <c r="Q21" s="8" t="n">
        <v>99.043</v>
      </c>
      <c r="R21" s="9"/>
      <c r="S21" s="8" t="n">
        <v>5.511</v>
      </c>
      <c r="T21" s="8"/>
      <c r="U21" s="8" t="n">
        <v>5.064</v>
      </c>
      <c r="V21" s="8"/>
      <c r="W21" s="8" t="n">
        <f aca="false">+Q21-S21-U21</f>
        <v>88.468</v>
      </c>
      <c r="X21" s="8"/>
      <c r="Y21" s="10" t="n">
        <f aca="false">(Q21-K21)/K21</f>
        <v>-0.0358057261903603</v>
      </c>
    </row>
    <row r="22" customFormat="false" ht="13.2" hidden="false" customHeight="false" outlineLevel="0" collapsed="false">
      <c r="A22" s="0" t="s">
        <v>31</v>
      </c>
      <c r="E22" s="8" t="n">
        <v>5.4</v>
      </c>
      <c r="F22" s="8"/>
      <c r="G22" s="8" t="n">
        <f aca="false">0</f>
        <v>0</v>
      </c>
      <c r="H22" s="8"/>
      <c r="I22" s="8" t="n">
        <f aca="false">+E22-G22</f>
        <v>5.4</v>
      </c>
      <c r="J22" s="8"/>
      <c r="K22" s="8" t="n">
        <v>12.8</v>
      </c>
      <c r="L22" s="9" t="s">
        <v>32</v>
      </c>
      <c r="M22" s="8" t="n">
        <v>1.282</v>
      </c>
      <c r="N22" s="9" t="s">
        <v>32</v>
      </c>
      <c r="O22" s="8" t="n">
        <f aca="false">+K22-M22</f>
        <v>11.518</v>
      </c>
      <c r="P22" s="8"/>
      <c r="Q22" s="8" t="n">
        <v>13</v>
      </c>
      <c r="R22" s="9"/>
      <c r="S22" s="8" t="n">
        <v>0.35</v>
      </c>
      <c r="T22" s="8"/>
      <c r="U22" s="8" t="n">
        <f aca="false">0</f>
        <v>0</v>
      </c>
      <c r="V22" s="8"/>
      <c r="W22" s="8" t="n">
        <f aca="false">+Q22-S22-U22</f>
        <v>12.65</v>
      </c>
      <c r="X22" s="8"/>
      <c r="Y22" s="10" t="n">
        <f aca="false">(Q22-K22)/K22</f>
        <v>0.0156249999999999</v>
      </c>
    </row>
    <row r="23" customFormat="false" ht="13.2" hidden="false" customHeight="false" outlineLevel="0" collapsed="false">
      <c r="A23" s="0" t="s">
        <v>33</v>
      </c>
      <c r="E23" s="8" t="n">
        <f aca="false">2.1+0.9</f>
        <v>3</v>
      </c>
      <c r="F23" s="8"/>
      <c r="G23" s="8" t="n">
        <v>0.5</v>
      </c>
      <c r="H23" s="8"/>
      <c r="I23" s="8" t="n">
        <f aca="false">+E23-G23</f>
        <v>2.5</v>
      </c>
      <c r="J23" s="8"/>
      <c r="K23" s="8" t="n">
        <f aca="false">3.104</f>
        <v>3.104</v>
      </c>
      <c r="L23" s="8"/>
      <c r="M23" s="8" t="n">
        <v>0.553</v>
      </c>
      <c r="N23" s="8"/>
      <c r="O23" s="8" t="n">
        <f aca="false">+K23-M23</f>
        <v>2.551</v>
      </c>
      <c r="P23" s="8"/>
      <c r="Q23" s="8" t="n">
        <f aca="false">3.1</f>
        <v>3.1</v>
      </c>
      <c r="R23" s="8"/>
      <c r="S23" s="8" t="n">
        <f aca="false">0.553-0.553</f>
        <v>0</v>
      </c>
      <c r="T23" s="8"/>
      <c r="U23" s="8" t="n">
        <v>0.553</v>
      </c>
      <c r="V23" s="8"/>
      <c r="W23" s="8" t="n">
        <f aca="false">+Q23-S23-U23</f>
        <v>2.547</v>
      </c>
      <c r="X23" s="8"/>
      <c r="Y23" s="10" t="n">
        <f aca="false">(Q23-K23)/K23</f>
        <v>-0.00128865979381443</v>
      </c>
    </row>
    <row r="24" customFormat="false" ht="13.2" hidden="false" customHeight="false" outlineLevel="0" collapsed="false"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10"/>
    </row>
    <row r="25" customFormat="false" ht="13.8" hidden="false" customHeight="false" outlineLevel="0" collapsed="false">
      <c r="A25" s="0" t="s">
        <v>34</v>
      </c>
      <c r="E25" s="13" t="n">
        <f aca="false">SUM(E16:E23)</f>
        <v>135.8</v>
      </c>
      <c r="F25" s="8"/>
      <c r="G25" s="13" t="n">
        <f aca="false">SUM(G16:G23)</f>
        <v>15.2</v>
      </c>
      <c r="H25" s="8"/>
      <c r="I25" s="13" t="n">
        <f aca="false">SUM(I16:I23)</f>
        <v>120.6</v>
      </c>
      <c r="J25" s="8"/>
      <c r="K25" s="13" t="n">
        <f aca="false">SUM(K16:K23)</f>
        <v>141.511</v>
      </c>
      <c r="L25" s="8"/>
      <c r="M25" s="13" t="n">
        <f aca="false">SUM(M16:M23)</f>
        <v>17.877</v>
      </c>
      <c r="N25" s="8"/>
      <c r="O25" s="13" t="n">
        <f aca="false">SUM(O16:O23)</f>
        <v>123.634</v>
      </c>
      <c r="P25" s="8"/>
      <c r="Q25" s="13" t="n">
        <f aca="false">SUM(Q16:Q23)</f>
        <v>137.6</v>
      </c>
      <c r="R25" s="8"/>
      <c r="S25" s="13" t="n">
        <f aca="false">SUM(S16:S23)</f>
        <v>6.666</v>
      </c>
      <c r="T25" s="8"/>
      <c r="U25" s="13" t="n">
        <f aca="false">SUM(U16:U23)</f>
        <v>7.088</v>
      </c>
      <c r="V25" s="8"/>
      <c r="W25" s="13" t="n">
        <f aca="false">SUM(W16:W23)</f>
        <v>123.846</v>
      </c>
      <c r="X25" s="8"/>
      <c r="Y25" s="14" t="n">
        <f aca="false">(Q25-K25)/K25</f>
        <v>-0.0276374274791361</v>
      </c>
    </row>
    <row r="26" customFormat="false" ht="25.5" hidden="false" customHeight="true" outlineLevel="0" collapsed="false"/>
    <row r="27" customFormat="false" ht="13.2" hidden="false" customHeight="false" outlineLevel="0" collapsed="false">
      <c r="A27" s="3" t="s">
        <v>35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customFormat="false" ht="13.2" hidden="false" customHeight="false" outlineLevel="0" collapsed="false">
      <c r="A28" s="15" t="s">
        <v>36</v>
      </c>
      <c r="E28" s="8" t="n">
        <v>0.6</v>
      </c>
      <c r="F28" s="8"/>
      <c r="G28" s="8"/>
      <c r="H28" s="8"/>
      <c r="I28" s="8" t="n">
        <f aca="false">E28-G28</f>
        <v>0.6</v>
      </c>
      <c r="J28" s="8"/>
      <c r="K28" s="8" t="n">
        <v>0.6</v>
      </c>
      <c r="L28" s="8"/>
      <c r="M28" s="8"/>
      <c r="N28" s="8"/>
      <c r="O28" s="8" t="n">
        <f aca="false">K28-M28</f>
        <v>0.6</v>
      </c>
      <c r="P28" s="8"/>
      <c r="Q28" s="8" t="n">
        <v>0.3</v>
      </c>
      <c r="R28" s="8"/>
      <c r="S28" s="8"/>
      <c r="T28" s="8"/>
      <c r="U28" s="8"/>
      <c r="V28" s="8"/>
      <c r="W28" s="8" t="n">
        <f aca="false">Q28-S28-U28</f>
        <v>0.3</v>
      </c>
      <c r="X28" s="8"/>
    </row>
    <row r="29" customFormat="false" ht="13.2" hidden="false" customHeight="false" outlineLevel="0" collapsed="false">
      <c r="A29" s="15" t="s">
        <v>37</v>
      </c>
      <c r="E29" s="8" t="n">
        <f aca="false">-0.4</f>
        <v>-0.4</v>
      </c>
      <c r="F29" s="8"/>
      <c r="G29" s="8"/>
      <c r="H29" s="8"/>
      <c r="I29" s="8" t="n">
        <f aca="false">E29-G29</f>
        <v>-0.4</v>
      </c>
      <c r="J29" s="8"/>
      <c r="K29" s="8" t="n">
        <f aca="false">-0.4</f>
        <v>-0.4</v>
      </c>
      <c r="L29" s="8"/>
      <c r="M29" s="8"/>
      <c r="N29" s="8"/>
      <c r="O29" s="8" t="n">
        <f aca="false">K29-M29</f>
        <v>-0.4</v>
      </c>
      <c r="P29" s="8"/>
      <c r="Q29" s="8" t="n">
        <f aca="false">-0.4</f>
        <v>-0.4</v>
      </c>
      <c r="R29" s="8"/>
      <c r="S29" s="8"/>
      <c r="T29" s="8"/>
      <c r="U29" s="8"/>
      <c r="V29" s="8"/>
      <c r="W29" s="8" t="n">
        <f aca="false">Q29-S29-U29</f>
        <v>-0.4</v>
      </c>
      <c r="X29" s="8"/>
    </row>
    <row r="30" customFormat="false" ht="13.2" hidden="false" customHeight="false" outlineLevel="0" collapsed="false">
      <c r="A30" s="15" t="s">
        <v>38</v>
      </c>
      <c r="E30" s="8" t="n">
        <v>0.8</v>
      </c>
      <c r="F30" s="8"/>
      <c r="G30" s="8"/>
      <c r="H30" s="8"/>
      <c r="I30" s="8" t="n">
        <f aca="false">E30-G30</f>
        <v>0.8</v>
      </c>
      <c r="J30" s="8"/>
      <c r="K30" s="8"/>
      <c r="L30" s="8"/>
      <c r="M30" s="8"/>
      <c r="N30" s="8"/>
      <c r="O30" s="8" t="n">
        <f aca="false">K30-M30</f>
        <v>0</v>
      </c>
      <c r="P30" s="8"/>
      <c r="Q30" s="8"/>
      <c r="R30" s="8"/>
      <c r="S30" s="8"/>
      <c r="T30" s="8"/>
      <c r="U30" s="8"/>
      <c r="V30" s="8"/>
      <c r="W30" s="8" t="n">
        <f aca="false">Q30-S30-U30</f>
        <v>0</v>
      </c>
      <c r="X30" s="8"/>
    </row>
    <row r="31" customFormat="false" ht="13.2" hidden="false" customHeight="false" outlineLevel="0" collapsed="false">
      <c r="A31" s="15" t="s">
        <v>39</v>
      </c>
      <c r="E31" s="8" t="n">
        <v>0.3</v>
      </c>
      <c r="F31" s="8"/>
      <c r="G31" s="8"/>
      <c r="H31" s="8"/>
      <c r="I31" s="8" t="n">
        <f aca="false">E31-G31</f>
        <v>0.3</v>
      </c>
      <c r="J31" s="8"/>
      <c r="K31" s="8"/>
      <c r="L31" s="8"/>
      <c r="M31" s="8"/>
      <c r="N31" s="8"/>
      <c r="O31" s="8" t="n">
        <f aca="false">K31-M31</f>
        <v>0</v>
      </c>
      <c r="P31" s="8"/>
      <c r="Q31" s="8"/>
      <c r="R31" s="8"/>
      <c r="S31" s="8"/>
      <c r="T31" s="8"/>
      <c r="U31" s="8"/>
      <c r="V31" s="8"/>
      <c r="W31" s="8" t="n">
        <f aca="false">Q31-S31-U31</f>
        <v>0</v>
      </c>
      <c r="X31" s="8"/>
    </row>
    <row r="32" customFormat="false" ht="13.2" hidden="false" customHeight="false" outlineLevel="0" collapsed="false">
      <c r="A32" s="15" t="s">
        <v>40</v>
      </c>
      <c r="E32" s="8" t="n">
        <v>0.2</v>
      </c>
      <c r="F32" s="8"/>
      <c r="G32" s="8"/>
      <c r="H32" s="8"/>
      <c r="I32" s="8" t="n">
        <f aca="false">E32-G32</f>
        <v>0.2</v>
      </c>
      <c r="J32" s="8"/>
      <c r="K32" s="8"/>
      <c r="L32" s="8"/>
      <c r="M32" s="8"/>
      <c r="N32" s="8"/>
      <c r="O32" s="8" t="n">
        <f aca="false">K32-M32</f>
        <v>0</v>
      </c>
      <c r="P32" s="8"/>
      <c r="Q32" s="8" t="n">
        <v>0.4</v>
      </c>
      <c r="R32" s="8"/>
      <c r="S32" s="8"/>
      <c r="T32" s="8"/>
      <c r="U32" s="8"/>
      <c r="V32" s="8"/>
      <c r="W32" s="8" t="n">
        <f aca="false">Q32-S32-U32</f>
        <v>0.4</v>
      </c>
      <c r="X32" s="8"/>
    </row>
    <row r="33" customFormat="false" ht="13.2" hidden="false" customHeight="false" outlineLevel="0" collapsed="false">
      <c r="A33" s="15" t="s">
        <v>41</v>
      </c>
      <c r="E33" s="8" t="n">
        <f aca="false">3.1+0.1</f>
        <v>3.2</v>
      </c>
      <c r="F33" s="8"/>
      <c r="G33" s="8" t="n">
        <v>0.5</v>
      </c>
      <c r="H33" s="8"/>
      <c r="I33" s="8" t="n">
        <f aca="false">E33-G33</f>
        <v>2.7</v>
      </c>
      <c r="J33" s="8"/>
      <c r="K33" s="8" t="n">
        <v>4.9</v>
      </c>
      <c r="L33" s="8"/>
      <c r="M33" s="8" t="n">
        <v>1</v>
      </c>
      <c r="N33" s="8"/>
      <c r="O33" s="8" t="n">
        <f aca="false">K33-M33</f>
        <v>3.9</v>
      </c>
      <c r="P33" s="8"/>
      <c r="Q33" s="8" t="n">
        <v>5.3</v>
      </c>
      <c r="R33" s="8"/>
      <c r="S33" s="8" t="n">
        <f aca="false">0</f>
        <v>0</v>
      </c>
      <c r="T33" s="8"/>
      <c r="U33" s="8" t="n">
        <v>1</v>
      </c>
      <c r="V33" s="8"/>
      <c r="W33" s="8" t="n">
        <f aca="false">Q33-S33-U33</f>
        <v>4.3</v>
      </c>
      <c r="X33" s="8"/>
    </row>
    <row r="34" customFormat="false" ht="13.2" hidden="false" customHeight="false" outlineLevel="0" collapsed="false">
      <c r="A34" s="15" t="s">
        <v>42</v>
      </c>
      <c r="E34" s="11" t="n">
        <v>0.3</v>
      </c>
      <c r="F34" s="8"/>
      <c r="G34" s="11"/>
      <c r="H34" s="8"/>
      <c r="I34" s="11" t="n">
        <f aca="false">E34-G34</f>
        <v>0.3</v>
      </c>
      <c r="J34" s="8"/>
      <c r="K34" s="11" t="n">
        <v>0.1</v>
      </c>
      <c r="L34" s="8"/>
      <c r="M34" s="11" t="n">
        <f aca="false">0</f>
        <v>0</v>
      </c>
      <c r="N34" s="8"/>
      <c r="O34" s="11" t="n">
        <f aca="false">K34-M34</f>
        <v>0.1</v>
      </c>
      <c r="P34" s="8"/>
      <c r="Q34" s="11" t="n">
        <v>0.2</v>
      </c>
      <c r="R34" s="8"/>
      <c r="S34" s="11"/>
      <c r="T34" s="8"/>
      <c r="U34" s="11"/>
      <c r="V34" s="8"/>
      <c r="W34" s="11" t="n">
        <f aca="false">Q34-S34-U34</f>
        <v>0.2</v>
      </c>
      <c r="X34" s="8"/>
    </row>
    <row r="35" customFormat="false" ht="13.2" hidden="false" customHeight="false" outlineLevel="0" collapsed="false"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  <row r="36" customFormat="false" ht="13.8" hidden="false" customHeight="false" outlineLevel="0" collapsed="false">
      <c r="A36" s="0" t="s">
        <v>43</v>
      </c>
      <c r="E36" s="16" t="n">
        <f aca="false">SUM(E28:E34)</f>
        <v>5</v>
      </c>
      <c r="F36" s="8"/>
      <c r="G36" s="16" t="n">
        <f aca="false">SUM(G28:G34)</f>
        <v>0.5</v>
      </c>
      <c r="H36" s="8"/>
      <c r="I36" s="16" t="n">
        <f aca="false">SUM(I28:I34)</f>
        <v>4.5</v>
      </c>
      <c r="J36" s="8"/>
      <c r="K36" s="16" t="n">
        <f aca="false">SUM(K28:K34)</f>
        <v>5.2</v>
      </c>
      <c r="L36" s="8"/>
      <c r="M36" s="16" t="n">
        <f aca="false">SUM(M28:M34)</f>
        <v>1</v>
      </c>
      <c r="N36" s="8"/>
      <c r="O36" s="16" t="n">
        <f aca="false">SUM(O28:O34)</f>
        <v>4.2</v>
      </c>
      <c r="P36" s="8"/>
      <c r="Q36" s="16" t="n">
        <f aca="false">SUM(Q28:Q34)</f>
        <v>5.8</v>
      </c>
      <c r="R36" s="8"/>
      <c r="S36" s="16" t="n">
        <f aca="false">SUM(S28:S34)</f>
        <v>0</v>
      </c>
      <c r="T36" s="8"/>
      <c r="U36" s="16" t="n">
        <f aca="false">SUM(U28:U34)</f>
        <v>1</v>
      </c>
      <c r="V36" s="8"/>
      <c r="W36" s="16" t="n">
        <f aca="false">SUM(W28:W34)</f>
        <v>4.8</v>
      </c>
      <c r="X36" s="8"/>
    </row>
    <row r="37" customFormat="false" ht="13.8" hidden="false" customHeight="false" outlineLevel="0" collapsed="false"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</row>
    <row r="38" customFormat="false" ht="15.6" hidden="false" customHeight="false" outlineLevel="0" collapsed="false">
      <c r="A38" s="17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</row>
    <row r="39" customFormat="false" ht="13.2" hidden="false" customHeight="false" outlineLevel="0" collapsed="false">
      <c r="A39" s="18" t="s">
        <v>44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customFormat="false" ht="13.2" hidden="false" customHeight="false" outlineLevel="0" collapsed="false">
      <c r="A40" s="18" t="s">
        <v>45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customFormat="false" ht="13.2" hidden="false" customHeight="false" outlineLevel="0" collapsed="false">
      <c r="A41" s="18" t="s">
        <v>46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</row>
    <row r="42" customFormat="false" ht="13.2" hidden="false" customHeight="false" outlineLevel="0" collapsed="false">
      <c r="A42" s="18" t="s">
        <v>47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</row>
    <row r="43" customFormat="false" ht="13.2" hidden="false" customHeight="false" outlineLevel="0" collapsed="false">
      <c r="A43" s="18" t="s">
        <v>48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</row>
    <row r="44" customFormat="false" ht="13.2" hidden="false" customHeight="false" outlineLevel="0" collapsed="false">
      <c r="A44" s="18" t="s">
        <v>49</v>
      </c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</row>
    <row r="45" customFormat="false" ht="13.2" hidden="false" customHeight="false" outlineLevel="0" collapsed="false">
      <c r="A45" s="1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</row>
    <row r="46" customFormat="false" ht="13.2" hidden="false" customHeight="false" outlineLevel="0" collapsed="false">
      <c r="A46" s="19" t="str">
        <f aca="true">CELL("filename")</f>
        <v>'file:///mnt/12tb/@roms/datasets/enron/EDRM Enron Email Data Set v2 XML/filtered-attachments/xls/NNG_TWO__M.xls'#$NNG</v>
      </c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</row>
    <row r="47" customFormat="false" ht="13.2" hidden="false" customHeight="false" outlineLevel="0" collapsed="false">
      <c r="A47" s="20" t="n">
        <f aca="true">NOW()</f>
        <v>45926.9686139744</v>
      </c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</row>
    <row r="48" customFormat="false" ht="13.2" hidden="false" customHeight="false" outlineLevel="0" collapsed="false"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</row>
    <row r="49" customFormat="false" ht="13.2" hidden="false" customHeight="false" outlineLevel="0" collapsed="false"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customFormat="false" ht="13.2" hidden="false" customHeight="false" outlineLevel="0" collapsed="false"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customFormat="false" ht="13.2" hidden="false" customHeight="false" outlineLevel="0" collapsed="false"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customFormat="false" ht="13.2" hidden="false" customHeight="false" outlineLevel="0" collapsed="false"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customFormat="false" ht="13.2" hidden="false" customHeight="false" outlineLevel="0" collapsed="false"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customFormat="false" ht="13.2" hidden="false" customHeight="false" outlineLevel="0" collapsed="false"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</row>
    <row r="55" customFormat="false" ht="13.2" hidden="false" customHeight="false" outlineLevel="0" collapsed="false"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</row>
    <row r="56" customFormat="false" ht="13.2" hidden="false" customHeight="false" outlineLevel="0" collapsed="false"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</row>
    <row r="57" customFormat="false" ht="13.2" hidden="false" customHeight="false" outlineLevel="0" collapsed="false"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</row>
    <row r="58" customFormat="false" ht="13.2" hidden="false" customHeight="false" outlineLevel="0" collapsed="false"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</row>
    <row r="59" customFormat="false" ht="13.2" hidden="false" customHeight="false" outlineLevel="0" collapsed="false"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</row>
    <row r="60" customFormat="false" ht="13.2" hidden="false" customHeight="false" outlineLevel="0" collapsed="false"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</row>
    <row r="61" customFormat="false" ht="13.2" hidden="false" customHeight="false" outlineLevel="0" collapsed="false"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</row>
    <row r="62" customFormat="false" ht="13.2" hidden="false" customHeight="false" outlineLevel="0" collapsed="false"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customFormat="false" ht="13.2" hidden="false" customHeight="false" outlineLevel="0" collapsed="false"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</row>
    <row r="64" customFormat="false" ht="13.2" hidden="false" customHeight="false" outlineLevel="0" collapsed="false"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</row>
    <row r="65" customFormat="false" ht="13.2" hidden="false" customHeight="false" outlineLevel="0" collapsed="false"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</row>
    <row r="66" customFormat="false" ht="13.2" hidden="false" customHeight="false" outlineLevel="0" collapsed="false"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</row>
    <row r="67" customFormat="false" ht="13.2" hidden="false" customHeight="false" outlineLevel="0" collapsed="false"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</row>
    <row r="68" customFormat="false" ht="13.2" hidden="false" customHeight="false" outlineLevel="0" collapsed="false"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</row>
    <row r="69" customFormat="false" ht="13.2" hidden="false" customHeight="false" outlineLevel="0" collapsed="false"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</row>
    <row r="70" customFormat="false" ht="13.2" hidden="false" customHeight="false" outlineLevel="0" collapsed="false"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</row>
    <row r="71" customFormat="false" ht="13.2" hidden="false" customHeight="false" outlineLevel="0" collapsed="false"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</row>
    <row r="72" customFormat="false" ht="13.2" hidden="false" customHeight="false" outlineLevel="0" collapsed="false"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</row>
    <row r="73" customFormat="false" ht="13.2" hidden="false" customHeight="false" outlineLevel="0" collapsed="false"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</row>
    <row r="74" customFormat="false" ht="13.2" hidden="false" customHeight="false" outlineLevel="0" collapsed="false"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</row>
    <row r="75" customFormat="false" ht="13.2" hidden="false" customHeight="false" outlineLevel="0" collapsed="false"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</row>
    <row r="76" customFormat="false" ht="13.2" hidden="false" customHeight="false" outlineLevel="0" collapsed="false"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</row>
    <row r="77" customFormat="false" ht="13.2" hidden="false" customHeight="false" outlineLevel="0" collapsed="false"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</row>
    <row r="78" customFormat="false" ht="13.2" hidden="false" customHeight="false" outlineLevel="0" collapsed="false"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</row>
    <row r="79" customFormat="false" ht="13.2" hidden="false" customHeight="false" outlineLevel="0" collapsed="false"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customFormat="false" ht="13.2" hidden="false" customHeight="false" outlineLevel="0" collapsed="false"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customFormat="false" ht="13.2" hidden="false" customHeight="false" outlineLevel="0" collapsed="false"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customFormat="false" ht="13.2" hidden="false" customHeight="false" outlineLevel="0" collapsed="false"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customFormat="false" ht="13.2" hidden="false" customHeight="false" outlineLevel="0" collapsed="false"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customFormat="false" ht="13.2" hidden="false" customHeight="false" outlineLevel="0" collapsed="false"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customFormat="false" ht="13.2" hidden="false" customHeight="false" outlineLevel="0" collapsed="false"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customFormat="false" ht="13.2" hidden="false" customHeight="false" outlineLevel="0" collapsed="false"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customFormat="false" ht="13.2" hidden="false" customHeight="false" outlineLevel="0" collapsed="false"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customFormat="false" ht="13.2" hidden="false" customHeight="false" outlineLevel="0" collapsed="false"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customFormat="false" ht="13.2" hidden="false" customHeight="false" outlineLevel="0" collapsed="false"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customFormat="false" ht="13.2" hidden="false" customHeight="false" outlineLevel="0" collapsed="false"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customFormat="false" ht="13.2" hidden="false" customHeight="false" outlineLevel="0" collapsed="false"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customFormat="false" ht="13.2" hidden="false" customHeight="false" outlineLevel="0" collapsed="false"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customFormat="false" ht="13.2" hidden="false" customHeight="false" outlineLevel="0" collapsed="false"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customFormat="false" ht="13.2" hidden="false" customHeight="false" outlineLevel="0" collapsed="false"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customFormat="false" ht="13.2" hidden="false" customHeight="false" outlineLevel="0" collapsed="false"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customFormat="false" ht="13.2" hidden="false" customHeight="false" outlineLevel="0" collapsed="false"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customFormat="false" ht="13.2" hidden="false" customHeight="false" outlineLevel="0" collapsed="false"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customFormat="false" ht="13.2" hidden="false" customHeight="false" outlineLevel="0" collapsed="false"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customFormat="false" ht="13.2" hidden="false" customHeight="false" outlineLevel="0" collapsed="false"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customFormat="false" ht="13.2" hidden="false" customHeight="false" outlineLevel="0" collapsed="false"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customFormat="false" ht="13.2" hidden="false" customHeight="false" outlineLevel="0" collapsed="false"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customFormat="false" ht="13.2" hidden="false" customHeight="false" outlineLevel="0" collapsed="false"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customFormat="false" ht="13.2" hidden="false" customHeight="false" outlineLevel="0" collapsed="false"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customFormat="false" ht="13.2" hidden="false" customHeight="false" outlineLevel="0" collapsed="false"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customFormat="false" ht="13.2" hidden="false" customHeight="false" outlineLevel="0" collapsed="false"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customFormat="false" ht="13.2" hidden="false" customHeight="false" outlineLevel="0" collapsed="false"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customFormat="false" ht="13.2" hidden="false" customHeight="false" outlineLevel="0" collapsed="false"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customFormat="false" ht="13.2" hidden="false" customHeight="false" outlineLevel="0" collapsed="false"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</sheetData>
  <mergeCells count="8">
    <mergeCell ref="A1:W1"/>
    <mergeCell ref="A2:W2"/>
    <mergeCell ref="A3:W3"/>
    <mergeCell ref="A4:W4"/>
    <mergeCell ref="Q7:W7"/>
    <mergeCell ref="E9:I9"/>
    <mergeCell ref="K9:O9"/>
    <mergeCell ref="A11:C11"/>
  </mergeCells>
  <printOptions headings="false" gridLines="false" gridLinesSet="true" horizontalCentered="true" verticalCentered="false"/>
  <pageMargins left="0.320138888888889" right="0.329861111111111" top="0.5" bottom="0.50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4" ySplit="10" topLeftCell="E11" activePane="bottomRight" state="frozen"/>
      <selection pane="topLeft" activeCell="A1" activeCellId="0" sqref="A1"/>
      <selection pane="topRight" activeCell="E1" activeCellId="0" sqref="E1"/>
      <selection pane="bottomLeft" activeCell="A11" activeCellId="0" sqref="A11"/>
      <selection pane="bottomRight" activeCell="A13" activeCellId="0" sqref="A13"/>
    </sheetView>
  </sheetViews>
  <sheetFormatPr defaultColWidth="9.0546875" defaultRowHeight="13.2" customHeight="true" zeroHeight="false" outlineLevelRow="0" outlineLevelCol="0"/>
  <cols>
    <col collapsed="false" customWidth="true" hidden="false" outlineLevel="0" max="1" min="1" style="0" width="12.32"/>
    <col collapsed="false" customWidth="true" hidden="false" outlineLevel="0" max="3" min="3" style="0" width="11.1"/>
    <col collapsed="false" customWidth="true" hidden="false" outlineLevel="0" max="4" min="4" style="0" width="2.99"/>
    <col collapsed="false" customWidth="true" hidden="false" outlineLevel="0" max="5" min="5" style="0" width="10.66"/>
    <col collapsed="false" customWidth="true" hidden="false" outlineLevel="0" max="6" min="6" style="0" width="2.1"/>
    <col collapsed="false" customWidth="true" hidden="false" outlineLevel="0" max="7" min="7" style="0" width="10.66"/>
    <col collapsed="false" customWidth="true" hidden="false" outlineLevel="0" max="8" min="8" style="0" width="2.1"/>
    <col collapsed="false" customWidth="true" hidden="false" outlineLevel="0" max="9" min="9" style="0" width="10.1"/>
    <col collapsed="false" customWidth="true" hidden="false" outlineLevel="0" max="10" min="10" style="0" width="2.88"/>
    <col collapsed="false" customWidth="true" hidden="false" outlineLevel="0" max="12" min="12" style="0" width="3.55"/>
    <col collapsed="false" customWidth="true" hidden="false" outlineLevel="0" max="14" min="14" style="0" width="3.99"/>
    <col collapsed="false" customWidth="true" hidden="false" outlineLevel="0" max="16" min="16" style="0" width="4.66"/>
    <col collapsed="false" customWidth="true" hidden="false" outlineLevel="0" max="18" min="18" style="0" width="3.32"/>
    <col collapsed="false" customWidth="true" hidden="false" outlineLevel="0" max="20" min="20" style="0" width="1.55"/>
    <col collapsed="false" customWidth="true" hidden="false" outlineLevel="0" max="21" min="21" style="0" width="9.87"/>
    <col collapsed="false" customWidth="true" hidden="false" outlineLevel="0" max="22" min="22" style="0" width="2.1"/>
    <col collapsed="false" customWidth="true" hidden="false" outlineLevel="0" max="24" min="24" style="0" width="4.21"/>
    <col collapsed="false" customWidth="true" hidden="false" outlineLevel="0" max="25" min="25" style="0" width="10.66"/>
    <col collapsed="false" customWidth="true" hidden="false" outlineLevel="0" max="26" min="26" style="0" width="2.1"/>
  </cols>
  <sheetData>
    <row r="1" customFormat="false" ht="15.6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5.6" hidden="false" customHeight="false" outlineLevel="0" collapsed="false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customFormat="false" ht="15.6" hidden="false" customHeight="false" outlineLevel="0" collapsed="false">
      <c r="A3" s="1" t="s">
        <v>50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customFormat="false" ht="15.6" hidden="false" customHeight="false" outlineLevel="0" collapsed="false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6" customFormat="false" ht="13.2" hidden="false" customHeight="false" outlineLevel="0" collapsed="false">
      <c r="A6" s="3"/>
    </row>
    <row r="7" customFormat="false" ht="13.2" hidden="false" customHeight="false" outlineLevel="0" collapsed="false">
      <c r="Q7" s="4" t="s">
        <v>4</v>
      </c>
      <c r="R7" s="4"/>
      <c r="S7" s="4"/>
      <c r="T7" s="4"/>
      <c r="U7" s="4"/>
      <c r="V7" s="4"/>
      <c r="W7" s="4"/>
    </row>
    <row r="8" customFormat="false" ht="13.2" hidden="false" customHeight="false" outlineLevel="0" collapsed="false">
      <c r="S8" s="5" t="s">
        <v>5</v>
      </c>
    </row>
    <row r="9" customFormat="false" ht="13.2" hidden="false" customHeight="false" outlineLevel="0" collapsed="false">
      <c r="E9" s="4" t="s">
        <v>6</v>
      </c>
      <c r="F9" s="4"/>
      <c r="G9" s="4"/>
      <c r="H9" s="4"/>
      <c r="I9" s="4"/>
      <c r="K9" s="4" t="s">
        <v>7</v>
      </c>
      <c r="L9" s="4"/>
      <c r="M9" s="4"/>
      <c r="N9" s="4"/>
      <c r="O9" s="4"/>
      <c r="S9" s="5" t="s">
        <v>8</v>
      </c>
      <c r="U9" s="3" t="s">
        <v>9</v>
      </c>
      <c r="Y9" s="5" t="s">
        <v>10</v>
      </c>
    </row>
    <row r="10" customFormat="false" ht="13.2" hidden="false" customHeight="false" outlineLevel="0" collapsed="false">
      <c r="E10" s="5" t="s">
        <v>11</v>
      </c>
      <c r="F10" s="5"/>
      <c r="G10" s="5" t="s">
        <v>12</v>
      </c>
      <c r="H10" s="5"/>
      <c r="I10" s="5" t="s">
        <v>13</v>
      </c>
      <c r="K10" s="5" t="s">
        <v>11</v>
      </c>
      <c r="L10" s="5"/>
      <c r="M10" s="5" t="s">
        <v>12</v>
      </c>
      <c r="N10" s="5"/>
      <c r="O10" s="5" t="s">
        <v>13</v>
      </c>
      <c r="Q10" s="5" t="s">
        <v>11</v>
      </c>
      <c r="S10" s="5" t="s">
        <v>12</v>
      </c>
      <c r="U10" s="5" t="s">
        <v>12</v>
      </c>
      <c r="V10" s="5"/>
      <c r="W10" s="5" t="s">
        <v>13</v>
      </c>
      <c r="Y10" s="6" t="s">
        <v>14</v>
      </c>
    </row>
    <row r="11" customFormat="false" ht="13.2" hidden="false" customHeight="false" outlineLevel="0" collapsed="false">
      <c r="A11" s="4" t="s">
        <v>15</v>
      </c>
      <c r="B11" s="4"/>
      <c r="C11" s="4"/>
      <c r="E11" s="4" t="s">
        <v>16</v>
      </c>
      <c r="F11" s="5"/>
      <c r="G11" s="4" t="s">
        <v>16</v>
      </c>
      <c r="H11" s="5"/>
      <c r="I11" s="4" t="s">
        <v>16</v>
      </c>
      <c r="K11" s="4" t="s">
        <v>16</v>
      </c>
      <c r="L11" s="5"/>
      <c r="M11" s="4" t="s">
        <v>16</v>
      </c>
      <c r="N11" s="5"/>
      <c r="O11" s="4" t="s">
        <v>16</v>
      </c>
      <c r="Q11" s="4" t="s">
        <v>16</v>
      </c>
      <c r="S11" s="4" t="s">
        <v>16</v>
      </c>
      <c r="U11" s="4" t="s">
        <v>16</v>
      </c>
      <c r="V11" s="5"/>
      <c r="W11" s="4" t="s">
        <v>16</v>
      </c>
      <c r="X11" s="7"/>
      <c r="Y11" s="4" t="s">
        <v>7</v>
      </c>
    </row>
    <row r="12" customFormat="false" ht="13.2" hidden="false" customHeight="false" outlineLevel="0" collapsed="false">
      <c r="A12" s="0" t="s">
        <v>17</v>
      </c>
      <c r="E12" s="8" t="n">
        <f aca="false">1.3+0.8</f>
        <v>2.1</v>
      </c>
      <c r="F12" s="8"/>
      <c r="G12" s="8" t="n">
        <v>0.2</v>
      </c>
      <c r="H12" s="8"/>
      <c r="I12" s="8" t="n">
        <f aca="false">+E12-G12</f>
        <v>1.9</v>
      </c>
      <c r="K12" s="8" t="n">
        <f aca="false">1.1+1.2+0.17+0.042</f>
        <v>2.512</v>
      </c>
      <c r="L12" s="9" t="s">
        <v>18</v>
      </c>
      <c r="M12" s="8" t="n">
        <f aca="false">0.2+0.17</f>
        <v>0.37</v>
      </c>
      <c r="N12" s="9" t="s">
        <v>18</v>
      </c>
      <c r="O12" s="8" t="n">
        <f aca="false">+K12-M12</f>
        <v>2.142</v>
      </c>
      <c r="P12" s="8"/>
      <c r="Q12" s="8" t="n">
        <f aca="false">0.907+1.239-0.006</f>
        <v>2.14</v>
      </c>
      <c r="R12" s="9" t="s">
        <v>19</v>
      </c>
      <c r="S12" s="8" t="n">
        <f aca="false">0.025</f>
        <v>0.025</v>
      </c>
      <c r="T12" s="8"/>
      <c r="U12" s="8" t="n">
        <f aca="false">0.191+0.005</f>
        <v>0.196</v>
      </c>
      <c r="V12" s="8"/>
      <c r="W12" s="8" t="n">
        <f aca="false">+Q12-S12-U12</f>
        <v>1.919</v>
      </c>
      <c r="Y12" s="10" t="n">
        <f aca="false">-371.2/2512</f>
        <v>-0.147770700636943</v>
      </c>
    </row>
    <row r="13" customFormat="false" ht="13.2" hidden="false" customHeight="false" outlineLevel="0" collapsed="false">
      <c r="A13" s="0" t="s">
        <v>20</v>
      </c>
      <c r="E13" s="8" t="n">
        <v>0</v>
      </c>
      <c r="F13" s="8"/>
      <c r="G13" s="8" t="n">
        <v>0</v>
      </c>
      <c r="H13" s="8"/>
      <c r="I13" s="8" t="n">
        <f aca="false">+E13-G13</f>
        <v>0</v>
      </c>
      <c r="K13" s="8" t="n">
        <v>0</v>
      </c>
      <c r="L13" s="9"/>
      <c r="M13" s="8" t="n">
        <v>0</v>
      </c>
      <c r="N13" s="9"/>
      <c r="O13" s="8" t="n">
        <f aca="false">+K13-M13</f>
        <v>0</v>
      </c>
      <c r="P13" s="8"/>
      <c r="Q13" s="8" t="n">
        <v>0.229</v>
      </c>
      <c r="R13" s="9"/>
      <c r="S13" s="8" t="n">
        <v>0</v>
      </c>
      <c r="T13" s="8"/>
      <c r="U13" s="8" t="n">
        <v>0</v>
      </c>
      <c r="V13" s="8"/>
      <c r="W13" s="8" t="n">
        <f aca="false">+Q13-S13-U13</f>
        <v>0.229</v>
      </c>
      <c r="X13" s="9" t="s">
        <v>21</v>
      </c>
      <c r="Y13" s="10" t="n">
        <v>1</v>
      </c>
    </row>
    <row r="14" customFormat="false" ht="13.2" hidden="false" customHeight="false" outlineLevel="0" collapsed="false">
      <c r="A14" s="0" t="s">
        <v>22</v>
      </c>
      <c r="E14" s="8" t="n">
        <v>0.4</v>
      </c>
      <c r="F14" s="8"/>
      <c r="G14" s="8" t="n">
        <f aca="false">0</f>
        <v>0</v>
      </c>
      <c r="H14" s="8"/>
      <c r="I14" s="8" t="n">
        <f aca="false">+E14-G14</f>
        <v>0.4</v>
      </c>
      <c r="K14" s="8" t="n">
        <f aca="false">0.461-0.169</f>
        <v>0.292</v>
      </c>
      <c r="L14" s="8"/>
      <c r="M14" s="8" t="n">
        <v>0.04</v>
      </c>
      <c r="N14" s="8"/>
      <c r="O14" s="8" t="n">
        <f aca="false">+K14-M14</f>
        <v>0.252</v>
      </c>
      <c r="P14" s="8"/>
      <c r="Q14" s="8" t="n">
        <f aca="false">0.263</f>
        <v>0.263</v>
      </c>
      <c r="R14" s="8"/>
      <c r="S14" s="8" t="n">
        <v>0</v>
      </c>
      <c r="T14" s="8"/>
      <c r="U14" s="8" t="n">
        <f aca="false">0</f>
        <v>0</v>
      </c>
      <c r="V14" s="8"/>
      <c r="W14" s="8" t="n">
        <f aca="false">+Q14-S14-U14</f>
        <v>0.263</v>
      </c>
      <c r="Y14" s="10" t="n">
        <f aca="false">-28.4/292</f>
        <v>-0.0972602739726027</v>
      </c>
    </row>
    <row r="15" customFormat="false" ht="13.2" hidden="false" customHeight="false" outlineLevel="0" collapsed="false">
      <c r="A15" s="0" t="s">
        <v>23</v>
      </c>
      <c r="E15" s="11" t="n">
        <v>0.2</v>
      </c>
      <c r="F15" s="8"/>
      <c r="G15" s="11" t="n">
        <f aca="false">0</f>
        <v>0</v>
      </c>
      <c r="H15" s="8"/>
      <c r="I15" s="11" t="n">
        <f aca="false">+E15-G15</f>
        <v>0.2</v>
      </c>
      <c r="K15" s="21" t="n">
        <f aca="false">0.318-0.055</f>
        <v>0.263</v>
      </c>
      <c r="L15" s="9" t="s">
        <v>24</v>
      </c>
      <c r="M15" s="11" t="n">
        <f aca="false">0.068-0.016</f>
        <v>0.052</v>
      </c>
      <c r="N15" s="9" t="s">
        <v>24</v>
      </c>
      <c r="O15" s="11" t="n">
        <f aca="false">+K15-M15</f>
        <v>0.211</v>
      </c>
      <c r="P15" s="8"/>
      <c r="Q15" s="11" t="n">
        <v>0.275</v>
      </c>
      <c r="R15" s="8"/>
      <c r="S15" s="11" t="n">
        <v>0</v>
      </c>
      <c r="T15" s="8"/>
      <c r="U15" s="11" t="n">
        <v>0.055</v>
      </c>
      <c r="V15" s="8"/>
      <c r="W15" s="11" t="n">
        <f aca="false">+Q15-S15-U15</f>
        <v>0.22</v>
      </c>
      <c r="Y15" s="12" t="n">
        <f aca="false">11.9/263.2</f>
        <v>0.0452127659574468</v>
      </c>
    </row>
    <row r="16" customFormat="false" ht="13.2" hidden="false" customHeight="false" outlineLevel="0" collapsed="false">
      <c r="B16" s="15" t="s">
        <v>51</v>
      </c>
      <c r="E16" s="8" t="n">
        <f aca="false">SUM(E12:E15)</f>
        <v>2.7</v>
      </c>
      <c r="F16" s="8"/>
      <c r="G16" s="8" t="n">
        <f aca="false">SUM(G12:G15)</f>
        <v>0.2</v>
      </c>
      <c r="H16" s="8"/>
      <c r="I16" s="8" t="n">
        <f aca="false">SUM(I12:I15)</f>
        <v>2.5</v>
      </c>
      <c r="K16" s="8" t="n">
        <f aca="false">SUM(K12:K15)</f>
        <v>3.067</v>
      </c>
      <c r="L16" s="8"/>
      <c r="M16" s="8" t="n">
        <f aca="false">SUM(M12:M15)</f>
        <v>0.462</v>
      </c>
      <c r="N16" s="8"/>
      <c r="O16" s="8" t="n">
        <f aca="false">SUM(O12:O15)</f>
        <v>2.605</v>
      </c>
      <c r="P16" s="8"/>
      <c r="Q16" s="8" t="n">
        <f aca="false">SUM(Q12:Q15)</f>
        <v>2.907</v>
      </c>
      <c r="R16" s="8"/>
      <c r="S16" s="8" t="n">
        <f aca="false">SUM(S12:S15)</f>
        <v>0.025</v>
      </c>
      <c r="T16" s="8"/>
      <c r="U16" s="8" t="n">
        <f aca="false">SUM(U12:U15)</f>
        <v>0.251</v>
      </c>
      <c r="V16" s="8"/>
      <c r="W16" s="8" t="n">
        <f aca="false">SUM(W12:W15)</f>
        <v>2.631</v>
      </c>
      <c r="Y16" s="10" t="n">
        <f aca="false">(Q16-K16)/K16</f>
        <v>-0.0521682425823278</v>
      </c>
      <c r="AA16" s="10"/>
    </row>
    <row r="17" customFormat="false" ht="13.2" hidden="false" customHeight="false" outlineLevel="0" collapsed="false">
      <c r="E17" s="8"/>
      <c r="F17" s="8"/>
      <c r="G17" s="8"/>
      <c r="H17" s="8"/>
      <c r="I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Y17" s="10"/>
      <c r="AA17" s="10"/>
    </row>
    <row r="18" customFormat="false" ht="13.2" hidden="false" customHeight="false" outlineLevel="0" collapsed="false">
      <c r="A18" s="0" t="s">
        <v>26</v>
      </c>
      <c r="E18" s="8" t="n">
        <v>1.5</v>
      </c>
      <c r="F18" s="8"/>
      <c r="G18" s="8" t="n">
        <v>0.2</v>
      </c>
      <c r="H18" s="8"/>
      <c r="I18" s="8" t="n">
        <f aca="false">+E18-G18</f>
        <v>1.3</v>
      </c>
      <c r="K18" s="8" t="n">
        <v>1.8</v>
      </c>
      <c r="L18" s="8"/>
      <c r="M18" s="8" t="n">
        <v>0.1</v>
      </c>
      <c r="N18" s="8"/>
      <c r="O18" s="8" t="n">
        <f aca="false">+K18-M18</f>
        <v>1.7</v>
      </c>
      <c r="P18" s="8"/>
      <c r="Q18" s="8" t="n">
        <v>1.581</v>
      </c>
      <c r="R18" s="8"/>
      <c r="S18" s="8" t="n">
        <v>0.075</v>
      </c>
      <c r="T18" s="8"/>
      <c r="U18" s="8" t="n">
        <f aca="false">0</f>
        <v>0</v>
      </c>
      <c r="V18" s="8"/>
      <c r="W18" s="8" t="n">
        <f aca="false">+Q18-S18-U18</f>
        <v>1.506</v>
      </c>
      <c r="Y18" s="10" t="n">
        <f aca="false">(Q18-K18)/K18</f>
        <v>-0.121666666666667</v>
      </c>
    </row>
    <row r="19" customFormat="false" ht="13.2" hidden="false" customHeight="false" outlineLevel="0" collapsed="false">
      <c r="A19" s="0" t="s">
        <v>27</v>
      </c>
      <c r="E19" s="8" t="n">
        <v>0.6</v>
      </c>
      <c r="F19" s="8"/>
      <c r="G19" s="8" t="n">
        <v>0.2</v>
      </c>
      <c r="H19" s="8"/>
      <c r="I19" s="8" t="n">
        <f aca="false">+E19-G19</f>
        <v>0.4</v>
      </c>
      <c r="K19" s="8" t="n">
        <v>0.7</v>
      </c>
      <c r="L19" s="8"/>
      <c r="M19" s="8" t="n">
        <v>0.2</v>
      </c>
      <c r="N19" s="8"/>
      <c r="O19" s="8" t="n">
        <f aca="false">+K19-M19</f>
        <v>0.5</v>
      </c>
      <c r="P19" s="8"/>
      <c r="Q19" s="8" t="n">
        <v>0.677</v>
      </c>
      <c r="R19" s="8"/>
      <c r="S19" s="8" t="n">
        <v>0</v>
      </c>
      <c r="T19" s="8"/>
      <c r="U19" s="8" t="n">
        <v>0.192</v>
      </c>
      <c r="V19" s="8"/>
      <c r="W19" s="8" t="n">
        <f aca="false">+Q19-S19-U19</f>
        <v>0.485</v>
      </c>
      <c r="Y19" s="10" t="n">
        <f aca="false">(Q19-K19)/K19</f>
        <v>-0.0328571428571427</v>
      </c>
    </row>
    <row r="20" customFormat="false" ht="13.2" hidden="false" customHeight="false" outlineLevel="0" collapsed="false">
      <c r="A20" s="0" t="s">
        <v>28</v>
      </c>
      <c r="E20" s="8" t="n">
        <v>0.1</v>
      </c>
      <c r="F20" s="8"/>
      <c r="G20" s="8" t="n">
        <f aca="false">0</f>
        <v>0</v>
      </c>
      <c r="H20" s="8"/>
      <c r="I20" s="8" t="n">
        <f aca="false">+E20-G20</f>
        <v>0.1</v>
      </c>
      <c r="K20" s="8" t="n">
        <v>0.1</v>
      </c>
      <c r="L20" s="8"/>
      <c r="M20" s="8" t="n">
        <f aca="false">0</f>
        <v>0</v>
      </c>
      <c r="N20" s="8"/>
      <c r="O20" s="8" t="n">
        <f aca="false">+K20-M20</f>
        <v>0.1</v>
      </c>
      <c r="P20" s="8"/>
      <c r="Q20" s="8" t="n">
        <f aca="false">0</f>
        <v>0</v>
      </c>
      <c r="R20" s="8"/>
      <c r="S20" s="8" t="n">
        <v>0</v>
      </c>
      <c r="T20" s="8"/>
      <c r="U20" s="8" t="n">
        <v>0</v>
      </c>
      <c r="V20" s="8"/>
      <c r="W20" s="8" t="n">
        <f aca="false">+S20-U20</f>
        <v>0</v>
      </c>
      <c r="Y20" s="10" t="n">
        <f aca="false">(Q20-K20)/K20</f>
        <v>-1</v>
      </c>
    </row>
    <row r="21" customFormat="false" ht="13.2" hidden="false" customHeight="false" outlineLevel="0" collapsed="false">
      <c r="A21" s="0" t="s">
        <v>29</v>
      </c>
      <c r="E21" s="8" t="n">
        <v>23.3</v>
      </c>
      <c r="F21" s="8"/>
      <c r="G21" s="8" t="n">
        <v>2.4</v>
      </c>
      <c r="H21" s="8"/>
      <c r="I21" s="8" t="n">
        <f aca="false">+E21-G21</f>
        <v>20.9</v>
      </c>
      <c r="K21" s="8" t="n">
        <f aca="false">23.196+1+0.033-0.301</f>
        <v>23.928</v>
      </c>
      <c r="L21" s="9" t="s">
        <v>30</v>
      </c>
      <c r="M21" s="8" t="n">
        <f aca="false">2.112+1+0.033-0.098</f>
        <v>3.047</v>
      </c>
      <c r="N21" s="9" t="s">
        <v>30</v>
      </c>
      <c r="O21" s="8" t="n">
        <f aca="false">+K21-M21</f>
        <v>20.881</v>
      </c>
      <c r="P21" s="8"/>
      <c r="Q21" s="8" t="n">
        <v>24.757</v>
      </c>
      <c r="R21" s="8"/>
      <c r="S21" s="8" t="n">
        <v>1.114</v>
      </c>
      <c r="T21" s="8"/>
      <c r="U21" s="8" t="n">
        <v>1.536</v>
      </c>
      <c r="V21" s="8"/>
      <c r="W21" s="8" t="n">
        <f aca="false">+Q21-S21-U21</f>
        <v>22.107</v>
      </c>
      <c r="Y21" s="10" t="n">
        <f aca="false">(Q21-K21)/K21</f>
        <v>0.0346456034770978</v>
      </c>
    </row>
    <row r="22" customFormat="false" ht="13.2" hidden="false" customHeight="false" outlineLevel="0" collapsed="false">
      <c r="A22" s="0" t="s">
        <v>31</v>
      </c>
      <c r="E22" s="8" t="n">
        <v>1.1</v>
      </c>
      <c r="F22" s="8"/>
      <c r="G22" s="8" t="n">
        <f aca="false">0</f>
        <v>0</v>
      </c>
      <c r="H22" s="8"/>
      <c r="I22" s="8" t="n">
        <f aca="false">+E22-G22</f>
        <v>1.1</v>
      </c>
      <c r="K22" s="8" t="n">
        <v>4.028</v>
      </c>
      <c r="L22" s="9" t="s">
        <v>32</v>
      </c>
      <c r="M22" s="8" t="n">
        <v>0.455</v>
      </c>
      <c r="N22" s="9" t="s">
        <v>32</v>
      </c>
      <c r="O22" s="8" t="n">
        <f aca="false">+K22-M22</f>
        <v>3.573</v>
      </c>
      <c r="P22" s="8"/>
      <c r="Q22" s="8" t="n">
        <v>3.599</v>
      </c>
      <c r="R22" s="8"/>
      <c r="S22" s="8" t="n">
        <v>0.073</v>
      </c>
      <c r="T22" s="8"/>
      <c r="U22" s="8" t="n">
        <v>0</v>
      </c>
      <c r="V22" s="8"/>
      <c r="W22" s="8" t="n">
        <f aca="false">+Q22-S22-U22</f>
        <v>3.526</v>
      </c>
      <c r="Y22" s="10" t="n">
        <f aca="false">(Q22-K22)/K22</f>
        <v>-0.106504468718967</v>
      </c>
    </row>
    <row r="23" customFormat="false" ht="13.2" hidden="false" customHeight="false" outlineLevel="0" collapsed="false">
      <c r="A23" s="0" t="s">
        <v>52</v>
      </c>
      <c r="E23" s="8" t="n">
        <v>0</v>
      </c>
      <c r="F23" s="8"/>
      <c r="G23" s="8" t="n">
        <v>0</v>
      </c>
      <c r="H23" s="8"/>
      <c r="I23" s="8" t="n">
        <f aca="false">+E23-G23</f>
        <v>0</v>
      </c>
      <c r="K23" s="8" t="n">
        <v>0.169</v>
      </c>
      <c r="L23" s="8"/>
      <c r="M23" s="8" t="n">
        <f aca="false">0</f>
        <v>0</v>
      </c>
      <c r="N23" s="8"/>
      <c r="O23" s="8" t="n">
        <f aca="false">+K23-M23</f>
        <v>0.169</v>
      </c>
      <c r="P23" s="8"/>
      <c r="Q23" s="8" t="n">
        <f aca="false">0.169</f>
        <v>0.169</v>
      </c>
      <c r="R23" s="8"/>
      <c r="S23" s="8" t="n">
        <v>0</v>
      </c>
      <c r="T23" s="8"/>
      <c r="U23" s="8" t="n">
        <v>0</v>
      </c>
      <c r="V23" s="8"/>
      <c r="W23" s="8" t="n">
        <f aca="false">+Q23-S23-U23</f>
        <v>0.169</v>
      </c>
      <c r="Y23" s="10" t="n">
        <f aca="false">(Q23-K23)/K23</f>
        <v>0</v>
      </c>
    </row>
    <row r="24" customFormat="false" ht="13.2" hidden="false" customHeight="false" outlineLevel="0" collapsed="false">
      <c r="Y24" s="10"/>
    </row>
    <row r="25" customFormat="false" ht="13.8" hidden="false" customHeight="false" outlineLevel="0" collapsed="false">
      <c r="A25" s="0" t="s">
        <v>34</v>
      </c>
      <c r="E25" s="22" t="n">
        <f aca="false">SUM(E16:E23)</f>
        <v>29.3</v>
      </c>
      <c r="G25" s="22" t="n">
        <f aca="false">SUM(G16:G23)</f>
        <v>3</v>
      </c>
      <c r="I25" s="22" t="n">
        <f aca="false">SUM(I16:I23)</f>
        <v>26.3</v>
      </c>
      <c r="K25" s="22" t="n">
        <f aca="false">SUM(K16:K23)</f>
        <v>33.792</v>
      </c>
      <c r="M25" s="22" t="n">
        <f aca="false">SUM(M16:M23)</f>
        <v>4.264</v>
      </c>
      <c r="O25" s="22" t="n">
        <f aca="false">SUM(O16:O23)</f>
        <v>29.528</v>
      </c>
      <c r="Q25" s="22" t="n">
        <f aca="false">SUM(Q16:Q23)</f>
        <v>33.69</v>
      </c>
      <c r="S25" s="22" t="n">
        <f aca="false">SUM(S16:S23)</f>
        <v>1.287</v>
      </c>
      <c r="U25" s="22" t="n">
        <f aca="false">SUM(U16:U23)</f>
        <v>1.979</v>
      </c>
      <c r="W25" s="22" t="n">
        <f aca="false">SUM(W16:W23)</f>
        <v>30.424</v>
      </c>
      <c r="Y25" s="14" t="n">
        <f aca="false">(Q25-K25)/K25</f>
        <v>-0.00301846590909102</v>
      </c>
    </row>
    <row r="26" customFormat="false" ht="29.25" hidden="false" customHeight="true" outlineLevel="0" collapsed="false"/>
    <row r="27" customFormat="false" ht="13.2" hidden="false" customHeight="false" outlineLevel="0" collapsed="false">
      <c r="A27" s="3" t="s">
        <v>35</v>
      </c>
    </row>
    <row r="28" customFormat="false" ht="13.2" hidden="false" customHeight="false" outlineLevel="0" collapsed="false">
      <c r="A28" s="15" t="s">
        <v>53</v>
      </c>
      <c r="E28" s="8" t="n">
        <v>0.4</v>
      </c>
      <c r="F28" s="8"/>
      <c r="G28" s="8"/>
      <c r="H28" s="8"/>
      <c r="I28" s="8" t="n">
        <f aca="false">E28-G28</f>
        <v>0.4</v>
      </c>
      <c r="J28" s="8"/>
      <c r="K28" s="8" t="n">
        <v>0.4</v>
      </c>
      <c r="L28" s="8"/>
      <c r="M28" s="8"/>
      <c r="N28" s="8"/>
      <c r="O28" s="8" t="n">
        <f aca="false">K28-M28</f>
        <v>0.4</v>
      </c>
      <c r="P28" s="8"/>
      <c r="Q28" s="8" t="n">
        <v>0.5</v>
      </c>
      <c r="R28" s="8"/>
      <c r="S28" s="8"/>
      <c r="T28" s="8"/>
      <c r="U28" s="8"/>
      <c r="V28" s="8"/>
      <c r="W28" s="8" t="n">
        <f aca="false">Q28-S28-U28</f>
        <v>0.5</v>
      </c>
      <c r="X28" s="8"/>
      <c r="Y28" s="8"/>
    </row>
    <row r="29" customFormat="false" ht="13.2" hidden="false" customHeight="false" outlineLevel="0" collapsed="false">
      <c r="A29" s="15" t="s">
        <v>54</v>
      </c>
      <c r="E29" s="8" t="n">
        <f aca="false">0</f>
        <v>0</v>
      </c>
      <c r="F29" s="8"/>
      <c r="G29" s="8"/>
      <c r="H29" s="8"/>
      <c r="I29" s="8" t="n">
        <f aca="false">E29-G29</f>
        <v>0</v>
      </c>
      <c r="J29" s="8"/>
      <c r="K29" s="8"/>
      <c r="L29" s="8"/>
      <c r="M29" s="8"/>
      <c r="N29" s="8"/>
      <c r="O29" s="8" t="n">
        <f aca="false">K29-M29</f>
        <v>0</v>
      </c>
      <c r="P29" s="8"/>
      <c r="Q29" s="8" t="n">
        <v>1</v>
      </c>
      <c r="R29" s="8"/>
      <c r="S29" s="8"/>
      <c r="T29" s="8"/>
      <c r="U29" s="8"/>
      <c r="V29" s="8"/>
      <c r="W29" s="8" t="n">
        <f aca="false">Q29-S29-U29</f>
        <v>1</v>
      </c>
      <c r="X29" s="8"/>
      <c r="Y29" s="8"/>
    </row>
    <row r="30" customFormat="false" ht="13.2" hidden="false" customHeight="false" outlineLevel="0" collapsed="false">
      <c r="A30" s="15" t="s">
        <v>36</v>
      </c>
      <c r="E30" s="8" t="n">
        <v>0.1</v>
      </c>
      <c r="F30" s="8"/>
      <c r="G30" s="8"/>
      <c r="H30" s="8"/>
      <c r="I30" s="8" t="n">
        <f aca="false">E30-G30</f>
        <v>0.1</v>
      </c>
      <c r="J30" s="8"/>
      <c r="K30" s="8" t="n">
        <v>0.1</v>
      </c>
      <c r="L30" s="8"/>
      <c r="M30" s="8"/>
      <c r="N30" s="8"/>
      <c r="O30" s="8" t="n">
        <f aca="false">K30-M30</f>
        <v>0.1</v>
      </c>
      <c r="P30" s="8"/>
      <c r="Q30" s="8" t="n">
        <v>0.1</v>
      </c>
      <c r="R30" s="8"/>
      <c r="S30" s="8"/>
      <c r="T30" s="8"/>
      <c r="U30" s="8"/>
      <c r="V30" s="8"/>
      <c r="W30" s="8" t="n">
        <f aca="false">Q30-S30-U30</f>
        <v>0.1</v>
      </c>
      <c r="X30" s="8"/>
      <c r="Y30" s="8"/>
    </row>
    <row r="31" customFormat="false" ht="13.2" hidden="false" customHeight="false" outlineLevel="0" collapsed="false">
      <c r="A31" s="15" t="s">
        <v>55</v>
      </c>
      <c r="E31" s="8" t="n">
        <v>1.6</v>
      </c>
      <c r="F31" s="8"/>
      <c r="G31" s="8"/>
      <c r="H31" s="8"/>
      <c r="I31" s="8" t="n">
        <f aca="false">E31-G31</f>
        <v>1.6</v>
      </c>
      <c r="J31" s="8"/>
      <c r="K31" s="8" t="n">
        <v>1.6</v>
      </c>
      <c r="L31" s="8"/>
      <c r="M31" s="8"/>
      <c r="N31" s="8"/>
      <c r="O31" s="8" t="n">
        <f aca="false">K31-M31</f>
        <v>1.6</v>
      </c>
      <c r="P31" s="8"/>
      <c r="Q31" s="8" t="n">
        <v>0.8</v>
      </c>
      <c r="R31" s="8"/>
      <c r="S31" s="8"/>
      <c r="T31" s="8"/>
      <c r="U31" s="8"/>
      <c r="V31" s="8"/>
      <c r="W31" s="8" t="n">
        <f aca="false">Q31-S31-U31</f>
        <v>0.8</v>
      </c>
      <c r="X31" s="8"/>
      <c r="Y31" s="8"/>
    </row>
    <row r="32" customFormat="false" ht="13.2" hidden="false" customHeight="false" outlineLevel="0" collapsed="false">
      <c r="A32" s="15" t="s">
        <v>56</v>
      </c>
      <c r="E32" s="8" t="n">
        <v>0.2</v>
      </c>
      <c r="F32" s="8"/>
      <c r="G32" s="8"/>
      <c r="H32" s="8"/>
      <c r="I32" s="8" t="n">
        <f aca="false">E32-G32</f>
        <v>0.2</v>
      </c>
      <c r="J32" s="8"/>
      <c r="K32" s="8" t="n">
        <v>0.5</v>
      </c>
      <c r="L32" s="8"/>
      <c r="M32" s="8"/>
      <c r="N32" s="8"/>
      <c r="O32" s="8" t="n">
        <f aca="false">K32-M32</f>
        <v>0.5</v>
      </c>
      <c r="P32" s="8"/>
      <c r="Q32" s="8" t="n">
        <v>1.9</v>
      </c>
      <c r="R32" s="8"/>
      <c r="S32" s="8"/>
      <c r="T32" s="8"/>
      <c r="U32" s="8"/>
      <c r="V32" s="8"/>
      <c r="W32" s="8" t="n">
        <f aca="false">Q32-S32-U32</f>
        <v>1.9</v>
      </c>
      <c r="X32" s="8"/>
      <c r="Y32" s="8"/>
    </row>
    <row r="33" customFormat="false" ht="13.2" hidden="false" customHeight="false" outlineLevel="0" collapsed="false">
      <c r="A33" s="15" t="s">
        <v>57</v>
      </c>
      <c r="E33" s="8" t="n">
        <v>0.7</v>
      </c>
      <c r="F33" s="8"/>
      <c r="G33" s="8" t="n">
        <v>0.1</v>
      </c>
      <c r="H33" s="8"/>
      <c r="I33" s="8" t="n">
        <f aca="false">E33-G33</f>
        <v>0.6</v>
      </c>
      <c r="J33" s="8"/>
      <c r="K33" s="8" t="n">
        <v>0.9</v>
      </c>
      <c r="L33" s="8"/>
      <c r="M33" s="8" t="n">
        <v>0.2</v>
      </c>
      <c r="N33" s="8"/>
      <c r="O33" s="8" t="n">
        <f aca="false">K33-M33</f>
        <v>0.7</v>
      </c>
      <c r="P33" s="8"/>
      <c r="Q33" s="8" t="n">
        <v>1.076</v>
      </c>
      <c r="R33" s="8"/>
      <c r="S33" s="8"/>
      <c r="T33" s="8"/>
      <c r="U33" s="8" t="n">
        <v>0.194</v>
      </c>
      <c r="V33" s="8"/>
      <c r="W33" s="8" t="n">
        <f aca="false">Q33-S33-U33</f>
        <v>0.882</v>
      </c>
      <c r="X33" s="8"/>
      <c r="Y33" s="8"/>
    </row>
    <row r="34" customFormat="false" ht="13.2" hidden="false" customHeight="false" outlineLevel="0" collapsed="false">
      <c r="A34" s="15" t="s">
        <v>39</v>
      </c>
      <c r="E34" s="8" t="n">
        <v>0.2</v>
      </c>
      <c r="F34" s="8"/>
      <c r="G34" s="8" t="n">
        <f aca="false">0</f>
        <v>0</v>
      </c>
      <c r="H34" s="8"/>
      <c r="I34" s="8" t="n">
        <f aca="false">E34-G34</f>
        <v>0.2</v>
      </c>
      <c r="J34" s="8"/>
      <c r="K34" s="8"/>
      <c r="L34" s="8"/>
      <c r="M34" s="8"/>
      <c r="N34" s="8"/>
      <c r="O34" s="8" t="n">
        <f aca="false">K34-M34</f>
        <v>0</v>
      </c>
      <c r="P34" s="8"/>
      <c r="Q34" s="8"/>
      <c r="R34" s="8"/>
      <c r="S34" s="8"/>
      <c r="T34" s="8"/>
      <c r="U34" s="8"/>
      <c r="V34" s="8"/>
      <c r="W34" s="8" t="n">
        <f aca="false">Q34-S34-U34</f>
        <v>0</v>
      </c>
      <c r="X34" s="8"/>
      <c r="Y34" s="8"/>
    </row>
    <row r="35" customFormat="false" ht="13.2" hidden="false" customHeight="false" outlineLevel="0" collapsed="false">
      <c r="A35" s="15" t="s">
        <v>42</v>
      </c>
      <c r="E35" s="11" t="n">
        <v>0.1</v>
      </c>
      <c r="F35" s="8"/>
      <c r="G35" s="11"/>
      <c r="H35" s="8"/>
      <c r="I35" s="11" t="n">
        <f aca="false">E35-G35</f>
        <v>0.1</v>
      </c>
      <c r="J35" s="8"/>
      <c r="K35" s="11" t="n">
        <v>0.1</v>
      </c>
      <c r="L35" s="8"/>
      <c r="M35" s="11"/>
      <c r="N35" s="8"/>
      <c r="O35" s="11" t="n">
        <f aca="false">K35-M35</f>
        <v>0.1</v>
      </c>
      <c r="P35" s="8"/>
      <c r="Q35" s="11" t="n">
        <v>0.1</v>
      </c>
      <c r="R35" s="8"/>
      <c r="S35" s="11"/>
      <c r="T35" s="8"/>
      <c r="U35" s="11"/>
      <c r="V35" s="8"/>
      <c r="W35" s="11" t="n">
        <f aca="false">Q35-S35-U35</f>
        <v>0.1</v>
      </c>
      <c r="X35" s="8"/>
      <c r="Y35" s="8"/>
    </row>
    <row r="36" customFormat="false" ht="13.2" hidden="false" customHeight="false" outlineLevel="0" collapsed="false"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customFormat="false" ht="13.8" hidden="false" customHeight="false" outlineLevel="0" collapsed="false">
      <c r="A37" s="0" t="s">
        <v>43</v>
      </c>
      <c r="E37" s="16" t="n">
        <f aca="false">SUM(E28:E36)</f>
        <v>3.3</v>
      </c>
      <c r="F37" s="8"/>
      <c r="G37" s="16" t="n">
        <f aca="false">SUM(G28:G36)</f>
        <v>0.1</v>
      </c>
      <c r="H37" s="8"/>
      <c r="I37" s="16" t="n">
        <f aca="false">SUM(I28:I36)</f>
        <v>3.2</v>
      </c>
      <c r="J37" s="8"/>
      <c r="K37" s="16" t="n">
        <f aca="false">SUM(K28:K36)</f>
        <v>3.6</v>
      </c>
      <c r="L37" s="8"/>
      <c r="M37" s="16" t="n">
        <f aca="false">SUM(M28:M36)</f>
        <v>0.2</v>
      </c>
      <c r="N37" s="8"/>
      <c r="O37" s="16" t="n">
        <f aca="false">SUM(O28:O36)</f>
        <v>3.4</v>
      </c>
      <c r="P37" s="8"/>
      <c r="Q37" s="16" t="n">
        <f aca="false">SUM(Q28:Q36)</f>
        <v>5.476</v>
      </c>
      <c r="R37" s="8"/>
      <c r="S37" s="16" t="n">
        <f aca="false">SUM(S28:S36)</f>
        <v>0</v>
      </c>
      <c r="T37" s="8"/>
      <c r="U37" s="16" t="n">
        <f aca="false">SUM(U28:U36)</f>
        <v>0.194</v>
      </c>
      <c r="V37" s="8"/>
      <c r="W37" s="16" t="n">
        <f aca="false">SUM(W28:W36)</f>
        <v>5.282</v>
      </c>
      <c r="X37" s="8"/>
      <c r="Y37" s="8"/>
    </row>
    <row r="38" customFormat="false" ht="13.8" hidden="false" customHeight="false" outlineLevel="0" collapsed="false"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</row>
    <row r="39" customFormat="false" ht="13.2" hidden="false" customHeight="false" outlineLevel="0" collapsed="false">
      <c r="A39" s="18" t="s">
        <v>58</v>
      </c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</row>
    <row r="40" customFormat="false" ht="13.2" hidden="false" customHeight="false" outlineLevel="0" collapsed="false">
      <c r="A40" s="18" t="s">
        <v>59</v>
      </c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</row>
    <row r="41" customFormat="false" ht="13.2" hidden="false" customHeight="false" outlineLevel="0" collapsed="false">
      <c r="A41" s="18" t="s">
        <v>60</v>
      </c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</row>
    <row r="42" customFormat="false" ht="13.2" hidden="false" customHeight="false" outlineLevel="0" collapsed="false">
      <c r="A42" s="18" t="s">
        <v>61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</row>
    <row r="43" customFormat="false" ht="13.2" hidden="false" customHeight="false" outlineLevel="0" collapsed="false">
      <c r="A43" s="18" t="s">
        <v>62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</row>
    <row r="44" customFormat="false" ht="13.2" hidden="false" customHeight="false" outlineLevel="0" collapsed="false">
      <c r="A44" s="18" t="s">
        <v>49</v>
      </c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</row>
    <row r="45" customFormat="false" ht="13.2" hidden="false" customHeight="false" outlineLevel="0" collapsed="false">
      <c r="A45" s="1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</row>
    <row r="46" customFormat="false" ht="13.2" hidden="false" customHeight="false" outlineLevel="0" collapsed="false">
      <c r="A46" s="19" t="str">
        <f aca="true">CELL("filename")</f>
        <v>'file:///mnt/12tb/@roms/datasets/enron/EDRM Enron Email Data Set v2 XML/filtered-attachments/xls/NNG_TWO__M.xls'#$TW</v>
      </c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</row>
    <row r="47" customFormat="false" ht="13.2" hidden="false" customHeight="false" outlineLevel="0" collapsed="false">
      <c r="A47" s="20" t="n">
        <f aca="true">NOW()</f>
        <v>45926.968613994</v>
      </c>
    </row>
  </sheetData>
  <mergeCells count="8">
    <mergeCell ref="A1:W1"/>
    <mergeCell ref="A2:W2"/>
    <mergeCell ref="A3:W3"/>
    <mergeCell ref="A4:W4"/>
    <mergeCell ref="Q7:W7"/>
    <mergeCell ref="E9:I9"/>
    <mergeCell ref="K9:O9"/>
    <mergeCell ref="A11:C11"/>
  </mergeCells>
  <printOptions headings="false" gridLines="false" gridLinesSet="true" horizontalCentered="true" verticalCentered="false"/>
  <pageMargins left="0.5" right="0.5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3.2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2000-08-09T17:51:24Z</dcterms:created>
  <dc:creator>tgeacco</dc:creator>
  <dc:description/>
  <dc:language>en-US</dc:language>
  <cp:lastModifiedBy>Elaine Concklin</cp:lastModifiedBy>
  <cp:lastPrinted>2000-09-01T14:45:26Z</cp:lastPrinted>
  <cp:revision>0</cp:revision>
  <dc:subject/>
  <dc:title/>
</cp:coreProperties>
</file>