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CKUP" sheetId="1" state="visible" r:id="rId3"/>
    <sheet name="BALSHEET" sheetId="2" state="visible" r:id="rId4"/>
    <sheet name="CASHFLOW" sheetId="3" state="visible" r:id="rId5"/>
    <sheet name="CF-Partnership, NNG &amp; 53K" sheetId="4" state="visible" r:id="rId6"/>
    <sheet name="PrintMacro" sheetId="5" state="hidden" r:id="rId7"/>
  </sheets>
  <externalReferences>
    <externalReference r:id="rId8"/>
  </externalReferences>
  <definedNames>
    <definedName function="false" hidden="false" localSheetId="0" name="_xlnm.Print_Area" vbProcedure="false">BACKUP!$A$463:$R$511</definedName>
    <definedName function="false" hidden="false" localSheetId="0" name="_xlnm.Print_Titles" vbProcedure="false">BACKUP!$1:$9</definedName>
    <definedName function="false" hidden="false" localSheetId="1" name="_xlnm.Print_Area" vbProcedure="false">BALSHEET!$CA$58:$CO$98</definedName>
    <definedName function="false" hidden="false" localSheetId="1" name="_xlnm.Print_Titles" vbProcedure="false">BALSHEET!$1:$10</definedName>
    <definedName function="false" hidden="false" localSheetId="2" name="_xlnm.Print_Area" vbProcedure="false">CASHFLOW!$AA$187:$AQ$246</definedName>
    <definedName function="false" hidden="false" localSheetId="3" name="_xlnm.Print_Area" vbProcedure="false">'CF-Partnership, NNG &amp; 53K'!$AA$1:$AR$66</definedName>
    <definedName function="false" hidden="false" name="ASSET1" vbProcedure="false">BACKUP!$A$10:$R$75</definedName>
    <definedName function="false" hidden="false" name="ASSET2" vbProcedure="false">BACKUP!$A$77:$R$135</definedName>
    <definedName function="false" hidden="false" name="ASSET3" vbProcedure="false">BACKUP!$A$137:$R$195</definedName>
    <definedName function="false" hidden="false" name="ASSET4" vbProcedure="false">BACKUP!$A$197:$R$251</definedName>
    <definedName function="false" hidden="false" name="ASSET5" vbProcedure="false">BACKUP!$A$252:$R$276</definedName>
    <definedName function="false" hidden="false" name="CFNNG53K" vbProcedure="false">'CF-Partnership, NNG &amp; 53K'!$AA$1:$AV$67</definedName>
    <definedName function="false" hidden="false" name="CFPARTNERSHIP" vbProcedure="false">'CF-Partnership, NNG &amp; 53K'!$A$1:$V$67</definedName>
    <definedName function="false" hidden="false" name="COMPARE" vbProcedure="false">CASHFLOW!$AA$1:$AQ$62</definedName>
    <definedName function="false" hidden="false" name="CORPBS" vbProcedure="false">BALSHEET!$A$157:$P$211</definedName>
    <definedName function="false" hidden="false" name="CORPBS93" vbProcedure="false">BALSHEET!$AA$157:$AP$211</definedName>
    <definedName function="false" hidden="false" name="CORPCASH" vbProcedure="false">CASHFLOW!$A$64:$V$118</definedName>
    <definedName function="false" hidden="false" name="CORPSUM" vbProcedure="false">CASHFLOW!$AA$64:$AQ$118</definedName>
    <definedName function="false" hidden="false" name="FUNDSMO" vbProcedure="false">CASHFLOW!$A$120:$V$185</definedName>
    <definedName function="false" hidden="false" name="FUNDSUM" vbProcedure="false">CASHFLOW!$AA$120:$AQ$185</definedName>
    <definedName function="false" hidden="false" name="LIAB1" vbProcedure="false">BACKUP!$A$279:$R$337</definedName>
    <definedName function="false" hidden="false" name="LIAB2" vbProcedure="false">BACKUP!$A$338:$R$399</definedName>
    <definedName function="false" hidden="false" name="LIAB3" vbProcedure="false">BACKUP!$A$401:$R$461</definedName>
    <definedName function="false" hidden="false" name="LIAB4" vbProcedure="false">BACKUP!$A$463:$R$511</definedName>
    <definedName function="false" hidden="false" name="MOASSET" vbProcedure="false">BALSHEET!$A$11:$O$56</definedName>
    <definedName function="false" hidden="false" name="MOLIAB" vbProcedure="false">BALSHEET!$A$58:$O$99</definedName>
    <definedName function="false" hidden="false" name="OTHERMO" vbProcedure="false">CASHFLOW!$A$187:$V$246</definedName>
    <definedName function="false" hidden="false" name="OTHERSUM" vbProcedure="false">CASHFLOW!$AA$187:$AQ$246</definedName>
    <definedName function="false" hidden="false" name="PAGE1" vbProcedure="false">CASHFLOW!$A$257:$U$302</definedName>
    <definedName function="false" hidden="false" name="PAGE2" vbProcedure="false">CASHFLOW!$A$304:$U$368</definedName>
    <definedName function="false" hidden="false" name="PRINT" vbProcedure="false">CASHFLOW!$A$1:$V$62</definedName>
    <definedName function="false" hidden="false" name="RONASSET" vbProcedure="false">BALSHEET!$AA$11:$AQ$53</definedName>
    <definedName function="false" hidden="false" name="RONCEMO" vbProcedure="false">BALSHEET!$A$102:$P$155</definedName>
    <definedName function="false" hidden="false" name="RONCEMO93" vbProcedure="false">BALSHEET!$AA$102:$AP$155</definedName>
    <definedName function="false" hidden="false" name="RONLIAB" vbProcedure="false">BALSHEET!$AA$58:$AQ$96</definedName>
    <definedName function="false" hidden="false" name="TITLE1" vbProcedure="false">BALSHEET!$A$1:$O$10</definedName>
    <definedName function="false" hidden="false" name="TITLE2" vbProcedure="false">BALSHEET!$AA$1:$AO$10</definedName>
    <definedName function="false" hidden="false" name="VARCE" vbProcedure="false">CASHFLOW!$A$443:$P$514</definedName>
    <definedName function="false" hidden="false" name="VARPLAN" vbProcedure="false">CASHFLOW!$A$370:$P$441</definedName>
    <definedName function="false" hidden="false" name="\L" vbProcedure="false">CASHFLOW!$C$517:$E$518</definedName>
    <definedName function="false" hidden="false" name="\P" vbProcedure="false">BALSHEET!$D$232:$F$233</definedName>
    <definedName function="false" hidden="false" name="\R" vbProcedure="false">BALSHEET!$D$238:$F$239</definedName>
    <definedName function="false" hidden="false" name="_93ASSET" vbProcedure="false">BALSHEET!$AA$11:$AO$56</definedName>
    <definedName function="false" hidden="false" name="_93LIAB" vbProcedure="false">BALSHEET!$AA$58:$AO$99</definedName>
    <definedName function="false" hidden="false" localSheetId="0" name="Print_Titles_MI" vbProcedure="false">BACKUP!$1:$9</definedName>
    <definedName function="false" hidden="false" localSheetId="0" name="TITLE1" vbProcedure="false">BACKUP!$A$1:$R$9</definedName>
    <definedName function="false" hidden="false" localSheetId="0" name="\P" vbProcedure="false">BACKUP!$D$515:$F$523</definedName>
    <definedName function="false" hidden="false" localSheetId="1" name="Print_Titles_MI" vbProcedure="false">BALSHEET!$1:$10</definedName>
    <definedName function="false" hidden="false" localSheetId="2" name="TITLE1" vbProcedure="false">CASHFLOW!$A$248:$U$256</definedName>
    <definedName function="false" hidden="false" localSheetId="3" name="COMPARE" vbProcedure="false">#REF!</definedName>
    <definedName function="false" hidden="false" localSheetId="3" name="CORPCASH" vbProcedure="false">#REF!</definedName>
    <definedName function="false" hidden="false" localSheetId="3" name="CORPSUM" vbProcedure="false">#REF!</definedName>
    <definedName function="false" hidden="false" localSheetId="3" name="FUNDSMO" vbProcedure="false">'CF-Partnership, NNG &amp; 53K'!$A$2:$C$67</definedName>
    <definedName function="false" hidden="false" localSheetId="3" name="FUNDSUM" vbProcedure="false">'CF-Partnership, NNG &amp; 53K'!$D$2:$V$67</definedName>
    <definedName function="false" hidden="false" localSheetId="3" name="OTHERMO" vbProcedure="false">#REF!</definedName>
    <definedName function="false" hidden="false" localSheetId="3" name="OTHERSUM" vbProcedure="false">#REF!</definedName>
    <definedName function="false" hidden="false" localSheetId="3" name="PAGE1" vbProcedure="false">#REF!</definedName>
    <definedName function="false" hidden="false" localSheetId="3" name="PAGE2" vbProcedure="false">#REF!</definedName>
    <definedName function="false" hidden="false" localSheetId="3" name="PRINT" vbProcedure="false">#REF!</definedName>
    <definedName function="false" hidden="false" localSheetId="3" name="TITLE1" vbProcedure="false">#REF!</definedName>
    <definedName function="false" hidden="false" localSheetId="3" name="VARCE" vbProcedure="false">#REF!</definedName>
    <definedName function="false" hidden="false" localSheetId="3" name="VARPLAN" vbProcedure="false">#REF!</definedName>
    <definedName function="false" hidden="false" localSheetId="3" name="\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<sst xmlns="http://schemas.openxmlformats.org/spreadsheetml/2006/main" count="1123" uniqueCount="637">
  <si>
    <t xml:space="preserve">NORTHERN NATURAL GAS GROUP</t>
  </si>
  <si>
    <t xml:space="preserve">BACKUP FOR BALANCE SHEET AND CASH FLOW STATEMENT</t>
  </si>
  <si>
    <t xml:space="preserve">2001 ACTUAL / ESTIMATE</t>
  </si>
  <si>
    <t xml:space="preserve">(Thousands of Dollars)</t>
  </si>
  <si>
    <t xml:space="preserve">ACTUAL</t>
  </si>
  <si>
    <t xml:space="preserve">PRE</t>
  </si>
  <si>
    <t xml:space="preserve">BALANCE </t>
  </si>
  <si>
    <t xml:space="preserve">ACT.</t>
  </si>
  <si>
    <t xml:space="preserve">3rd CE</t>
  </si>
  <si>
    <t xml:space="preserve">TOTAL</t>
  </si>
  <si>
    <t xml:space="preserve">JULY</t>
  </si>
  <si>
    <t xml:space="preserve">ESTIMATED</t>
  </si>
  <si>
    <t xml:space="preserve">12/31/00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</si>
  <si>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</si>
  <si>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</si>
  <si>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</si>
  <si>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</si>
  <si>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</si>
  <si>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</si>
  <si>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</si>
  <si>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</si>
  <si>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</si>
  <si>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</si>
  <si>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</si>
  <si>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</si>
  <si>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Y-T-D</t>
  </si>
  <si>
    <t xml:space="preserve">R.M.</t>
  </si>
  <si>
    <t xml:space="preserve">Cash / Temporary Cash Investments - Beg. Balance</t>
  </si>
  <si>
    <t xml:space="preserve">   Actual / Estimate Adjustment</t>
  </si>
  <si>
    <t xml:space="preserve">Cash / Temporary Cash Investments - End. Balance</t>
  </si>
  <si>
    <t xml:space="preserve">      Change</t>
  </si>
  <si>
    <t xml:space="preserve">Accounts Receivable - Beg. Balance</t>
  </si>
  <si>
    <t xml:space="preserve">   Previous Month Subtotal</t>
  </si>
  <si>
    <t xml:space="preserve">   Seagull &amp; MOPS Fuel Sales </t>
  </si>
  <si>
    <t xml:space="preserve">(L)</t>
  </si>
  <si>
    <t xml:space="preserve">   Transportion Revenue (Before Higher Rates)</t>
  </si>
  <si>
    <t xml:space="preserve">   Liquids Revenue</t>
  </si>
  <si>
    <t xml:space="preserve">   Other Revenue</t>
  </si>
  <si>
    <t xml:space="preserve">   Rate Case Impact (Higher Rates)</t>
  </si>
  <si>
    <t xml:space="preserve">      Subtotal - Revenue</t>
  </si>
  <si>
    <t xml:space="preserve">   Assigned Receivables Sale (Reclass to A/P 3/01)</t>
  </si>
  <si>
    <t xml:space="preserve">   Other</t>
  </si>
  <si>
    <t xml:space="preserve">Accounts Receivable - End. Balance</t>
  </si>
  <si>
    <t xml:space="preserve">Asset Price Risk Management (Current)- Beg. Balance</t>
  </si>
  <si>
    <t xml:space="preserve">   Other Speculative </t>
  </si>
  <si>
    <t xml:space="preserve">Asset Price Risk Management (Current)- End. Balance</t>
  </si>
  <si>
    <t xml:space="preserve">Inventories - Beg. Balance</t>
  </si>
  <si>
    <t xml:space="preserve">   Storage Above / (Below) 14.0 Bcf Level</t>
  </si>
  <si>
    <t xml:space="preserve">Inventories - End. Balance</t>
  </si>
  <si>
    <t xml:space="preserve">Materials &amp; Supplies - Beg. Balance</t>
  </si>
  <si>
    <t xml:space="preserve">   Actual / Estimate Adjustment </t>
  </si>
  <si>
    <t xml:space="preserve">Materials &amp; Supplies - End. Balance</t>
  </si>
  <si>
    <t xml:space="preserve">Exchange Gas Receivable - Beg. Balance</t>
  </si>
  <si>
    <t xml:space="preserve">Exchange Gas Receivable - End. Balance</t>
  </si>
  <si>
    <t xml:space="preserve">Prepayments - Beg. Balance</t>
  </si>
  <si>
    <t xml:space="preserve">   DOT Users Fees - 2001 (Expense in 2000)</t>
  </si>
  <si>
    <t xml:space="preserve">        - 2002</t>
  </si>
  <si>
    <t xml:space="preserve">Prepayments - End. Balance</t>
  </si>
  <si>
    <t xml:space="preserve">Regulatory Assets (Current) - Beg. Balance</t>
  </si>
  <si>
    <t xml:space="preserve">END. BAL.</t>
  </si>
  <si>
    <t xml:space="preserve">   ACA - Payments</t>
  </si>
  <si>
    <t xml:space="preserve">           - Amortization</t>
  </si>
  <si>
    <t xml:space="preserve">   Stranded 858 / 858 R.A.</t>
  </si>
  <si>
    <t xml:space="preserve">   GSR / GSR R.A. - Surcharge / Carrying Charges Tracker</t>
  </si>
  <si>
    <t xml:space="preserve">   Reverse Auction 1 - Surcharge Tracker</t>
  </si>
  <si>
    <t xml:space="preserve">   Reverse Auction 2 - Surcharge Tracker</t>
  </si>
  <si>
    <t xml:space="preserve">   Reverse Auction 3 - Surcharge Tracker</t>
  </si>
  <si>
    <t xml:space="preserve">   Net Fuel / UAF Amortization (Pre PRA)</t>
  </si>
  <si>
    <t xml:space="preserve">   Severance and Relocation Amortization</t>
  </si>
  <si>
    <t xml:space="preserve">   2223 Dodge Lease Termination Amortization</t>
  </si>
  <si>
    <t xml:space="preserve">   Uncollectable Accts. (PGA / Centran,Gasmart,Latex)</t>
  </si>
  <si>
    <t xml:space="preserve">   Order 528 - Surcharge Tracker </t>
  </si>
  <si>
    <t xml:space="preserve">   FAS 106 Amortization</t>
  </si>
  <si>
    <t xml:space="preserve">   Regulatory Commission Expense</t>
  </si>
  <si>
    <t xml:space="preserve">   SBA Tracker Adjustment</t>
  </si>
  <si>
    <t xml:space="preserve">   Risk Management</t>
  </si>
  <si>
    <t xml:space="preserve">Regulatory Assets (Current) - End. Balance</t>
  </si>
  <si>
    <t xml:space="preserve">Other Current Assets - Beg. Balance</t>
  </si>
  <si>
    <t xml:space="preserve">   Other - OI Costs</t>
  </si>
  <si>
    <t xml:space="preserve">            - Loss on Reacquired Debt</t>
  </si>
  <si>
    <t xml:space="preserve">            - Unamortized Debt Expense - $250.0 MM Note</t>
  </si>
  <si>
    <t xml:space="preserve">                      - $100.0 MM Note</t>
  </si>
  <si>
    <t xml:space="preserve">                      - $150.0 MM Note</t>
  </si>
  <si>
    <t xml:space="preserve">            - Variable Pay / Annual Incentive</t>
  </si>
  <si>
    <t xml:space="preserve">Other Current Assets - End. Balance</t>
  </si>
  <si>
    <t xml:space="preserve">Pipeline Partnerships - Beg. Balance</t>
  </si>
  <si>
    <t xml:space="preserve">   Partnership Income / (Loss)</t>
  </si>
  <si>
    <t xml:space="preserve">   Partnership Distribution</t>
  </si>
  <si>
    <t xml:space="preserve">   Trailblazer Monetization</t>
  </si>
  <si>
    <t xml:space="preserve">      - Monthly Fair Value Adjustment</t>
  </si>
  <si>
    <t xml:space="preserve">Pipeline Partnerships - End. Balance</t>
  </si>
  <si>
    <t xml:space="preserve">Investments &amp; Other Assets - Beg. Balance</t>
  </si>
  <si>
    <t xml:space="preserve">   McDay Energy (Original Loan $1.950 &amp; Assets $1.828)</t>
  </si>
  <si>
    <t xml:space="preserve">   Miscellaneous</t>
  </si>
  <si>
    <t xml:space="preserve">Investments &amp; Other Assets - End. Balance</t>
  </si>
  <si>
    <t xml:space="preserve">Asset Price Risk Management (Noncurrent)- Beg. Balance</t>
  </si>
  <si>
    <t xml:space="preserve">   Base Gas / El Paso</t>
  </si>
  <si>
    <t xml:space="preserve">   TransCanada</t>
  </si>
  <si>
    <t xml:space="preserve">   Other Comprehensive Income</t>
  </si>
  <si>
    <t xml:space="preserve">   Other Speculative</t>
  </si>
  <si>
    <t xml:space="preserve">Asset Price Risk Management (Noncurrent)- End. Balance</t>
  </si>
  <si>
    <t xml:space="preserve">Plant - Beg. Balance</t>
  </si>
  <si>
    <t xml:space="preserve">   Capital Expenditures (Rudy) - Base Amt. </t>
  </si>
  <si>
    <t xml:space="preserve">              - Other</t>
  </si>
  <si>
    <t xml:space="preserve">              - Year End Accrual Activity</t>
  </si>
  <si>
    <t xml:space="preserve">              - Additional O&amp;M Capitalization</t>
  </si>
  <si>
    <t xml:space="preserve">   AFUDC</t>
  </si>
  <si>
    <t xml:space="preserve">   Asset Sales - Net Plant </t>
  </si>
  <si>
    <t xml:space="preserve">                      - Net Plant </t>
  </si>
  <si>
    <t xml:space="preserve">   Plant / Reserve Adjustments</t>
  </si>
  <si>
    <t xml:space="preserve">   Storage Imbalance (Acct. 117.4 - 12/31/00 - 9.371 Bcf) </t>
  </si>
  <si>
    <t xml:space="preserve">   Retirements at Cost </t>
  </si>
  <si>
    <t xml:space="preserve">Plant - End. Balance</t>
  </si>
  <si>
    <t xml:space="preserve">Accumulated Depreciation - Beg. Balance</t>
  </si>
  <si>
    <t xml:space="preserve">   Depreciation Expense</t>
  </si>
  <si>
    <t xml:space="preserve">   Plant Amortization</t>
  </si>
  <si>
    <t xml:space="preserve">   Removals (Summary of Property Changes)</t>
  </si>
  <si>
    <t xml:space="preserve">   Salvage (Summary of Property Changes)</t>
  </si>
  <si>
    <t xml:space="preserve">   Plant Acquisitions Adjustments</t>
  </si>
  <si>
    <t xml:space="preserve">   Pipe Recoating / Plant / Reserve Adjustments</t>
  </si>
  <si>
    <t xml:space="preserve">   Asset Sales </t>
  </si>
  <si>
    <r>
      <rPr>
        <sz val="10"/>
        <rFont val="Arial"/>
        <family val="2"/>
      </rPr>
      <t xml:space="preserve">   Retirement of Reserves </t>
    </r>
    <r>
      <rPr>
        <sz val="10"/>
        <color rgb="FFFF0000"/>
        <rFont val="Arial"/>
        <family val="2"/>
      </rPr>
      <t xml:space="preserve">(Was 12/01 Now 2002 - Mops $-1.8)</t>
    </r>
  </si>
  <si>
    <t xml:space="preserve">Accumulated Depreciation - End. Balance</t>
  </si>
  <si>
    <t xml:space="preserve">Deferred Contract Reformation Costs - Beg. Balance</t>
  </si>
  <si>
    <t xml:space="preserve">   One Time Payments (Third Parties)</t>
  </si>
  <si>
    <t xml:space="preserve">Deferred Contract Reformation Costs - End. Balance</t>
  </si>
  <si>
    <t xml:space="preserve">Deferred Sev. / Relocation Charges - Beg. Balance</t>
  </si>
  <si>
    <t xml:space="preserve">   Merger / Severance</t>
  </si>
  <si>
    <t xml:space="preserve">Deferred Sev. / Relocation Charges - End. Balance</t>
  </si>
  <si>
    <t xml:space="preserve">MONTHLY</t>
  </si>
  <si>
    <t xml:space="preserve">Regulatory Assets (Noncurrent) - Beg. Balance</t>
  </si>
  <si>
    <t xml:space="preserve">   Stranded 858 (Other) - Principal / Other</t>
  </si>
  <si>
    <t xml:space="preserve">          - Surcharge Tracker </t>
  </si>
  <si>
    <t xml:space="preserve">          - Carrying Charges</t>
  </si>
  <si>
    <t xml:space="preserve">   Stranded 858 (ANR Buyout) - Principal / Other</t>
  </si>
  <si>
    <t xml:space="preserve">   Stranded 858 R.A. - Principal / Other</t>
  </si>
  <si>
    <t xml:space="preserve">   GSR (Total) - Principal / Other</t>
  </si>
  <si>
    <t xml:space="preserve">   GSR R.A. (Total) - Other</t>
  </si>
  <si>
    <t xml:space="preserve">          - Principal (Interest Component)</t>
  </si>
  <si>
    <t xml:space="preserve">   Reverse Auction 1 - Other</t>
  </si>
  <si>
    <t xml:space="preserve">   Reverse Auction 2 - Other</t>
  </si>
  <si>
    <t xml:space="preserve">   Reverse Auction 3 - Other</t>
  </si>
  <si>
    <t xml:space="preserve">          - Principal </t>
  </si>
  <si>
    <t xml:space="preserve">   Order 528 - Principal / Other </t>
  </si>
  <si>
    <t xml:space="preserve">          - Direct Bill Payment</t>
  </si>
  <si>
    <t xml:space="preserve">   South Georgia (Reclass from Other Reg. Liab. 10/99)</t>
  </si>
  <si>
    <t xml:space="preserve">   Kansas Ad Valorem Tax Issue</t>
  </si>
  <si>
    <t xml:space="preserve">   Pipe Recoating Costs - Principal</t>
  </si>
  <si>
    <t xml:space="preserve">          - Amortization (Reg. Amort.) </t>
  </si>
  <si>
    <t xml:space="preserve">   IMP Amortization (Reg. Amort.)</t>
  </si>
  <si>
    <t xml:space="preserve">   Regulatory Commission Expense (Reg. Amort.)</t>
  </si>
  <si>
    <t xml:space="preserve">   Severance &amp; Relocation Amortization</t>
  </si>
  <si>
    <t xml:space="preserve">   Uncollectable Accts.(PGA / Centran,Gasmart,Latex)</t>
  </si>
  <si>
    <t xml:space="preserve">   Y2K Cost Deferrals</t>
  </si>
  <si>
    <t xml:space="preserve">   Storage Equivalent Unit Price Risk - @ Index</t>
  </si>
  <si>
    <t xml:space="preserve">          - @ Futures</t>
  </si>
  <si>
    <t xml:space="preserve">   AFUDC - Gross Up (Net of Amortization)</t>
  </si>
  <si>
    <t xml:space="preserve">      Funds Flow Management (Final Plan )</t>
  </si>
  <si>
    <t xml:space="preserve">      Funds Flow Management (2nd C.E.)</t>
  </si>
  <si>
    <t xml:space="preserve">      Funds Flow Management (3rd Qtr Forecast )</t>
  </si>
  <si>
    <t xml:space="preserve">Regulatory Assets (Noncurrent) - End. Balance</t>
  </si>
  <si>
    <t xml:space="preserve">Deferred Charges - Beg. Balance</t>
  </si>
  <si>
    <t xml:space="preserve">   Amortized Loss on Reacquired Debt</t>
  </si>
  <si>
    <t xml:space="preserve">   Non Construction WIP </t>
  </si>
  <si>
    <t xml:space="preserve">      - Y2K Cost Deferrals (Reclass to Reg Assets 7/00)</t>
  </si>
  <si>
    <t xml:space="preserve">      - Mobil Annual Settlement (1996-2001Exp. In 2000) / Amort.</t>
  </si>
  <si>
    <t xml:space="preserve">   Unamortized Debt Expense - $250.0 MM Note</t>
  </si>
  <si>
    <t xml:space="preserve">      - $100.0 MM Note</t>
  </si>
  <si>
    <t xml:space="preserve">      - $150.0 MM Note</t>
  </si>
  <si>
    <t xml:space="preserve">   Non-Recurring Structured Produces (Non Cash)</t>
  </si>
  <si>
    <t xml:space="preserve">   Unidentified "Stretch" (Non Cash)</t>
  </si>
  <si>
    <t xml:space="preserve">   Quarterly Actual vs. Flash Variance (Hyperion Adjust.)</t>
  </si>
  <si>
    <t xml:space="preserve">Deferred Charges - End. Balance</t>
  </si>
  <si>
    <t xml:space="preserve">TOTAL ASSETS</t>
  </si>
  <si>
    <t xml:space="preserve">      Net Change</t>
  </si>
  <si>
    <t xml:space="preserve">Accounts Payable (Assoc. / Other) - Beg. Balance</t>
  </si>
  <si>
    <t xml:space="preserve">   Gas Purchased &amp; Produced</t>
  </si>
  <si>
    <t xml:space="preserve">   TC&amp;S (858 / 858 R.A. / SBA)</t>
  </si>
  <si>
    <t xml:space="preserve">   Liquids Fuel &amp; Shrinkage </t>
  </si>
  <si>
    <t xml:space="preserve">      Subtotal</t>
  </si>
  <si>
    <t xml:space="preserve">   Year End Accrual</t>
  </si>
  <si>
    <t xml:space="preserve">   Gas Purchase Payable (12/00)</t>
  </si>
  <si>
    <t xml:space="preserve">   Associated Companies (Interco.)</t>
  </si>
  <si>
    <t xml:space="preserve">   Assigned Receivables Sale (Reclass From A/R 3/01)</t>
  </si>
  <si>
    <t xml:space="preserve">   Reverse Auction 1 &amp; 2  Accrual (Year End) / Payment</t>
  </si>
  <si>
    <t xml:space="preserve">Accounts Payable (Assoc. / Other) - End. Balance</t>
  </si>
  <si>
    <t xml:space="preserve">Accounts Payable (Enron Corp. Other) - Beg. Balance</t>
  </si>
  <si>
    <t xml:space="preserve">   Corporate Payable (Acct. 1460)</t>
  </si>
  <si>
    <t xml:space="preserve">   AR/AP Assoc. Cos. Mo. Change Eliminations (6/01 Forward)</t>
  </si>
  <si>
    <t xml:space="preserve">   Actual / Estimate Adjustment (CAFCO ?)</t>
  </si>
  <si>
    <t xml:space="preserve">Accounts Payable (Enron Corp. Other) - End. Balance</t>
  </si>
  <si>
    <t xml:space="preserve">Accounts Payable (Other) - Beg. Balance</t>
  </si>
  <si>
    <t xml:space="preserve">   Current Month Activity   (REVIEW FORMULA)</t>
  </si>
  <si>
    <t xml:space="preserve">Accounts Payable (Other) - End. Balance</t>
  </si>
  <si>
    <t xml:space="preserve">Liability Price Risk Management (Current) - Beg. Balance</t>
  </si>
  <si>
    <t xml:space="preserve">   Other Comprehensive Loss</t>
  </si>
  <si>
    <t xml:space="preserve">   Net Present Value Adjustment</t>
  </si>
  <si>
    <t xml:space="preserve">Liability Price Risk Management (Current) - End. Balance</t>
  </si>
  <si>
    <t xml:space="preserve">Exchange Gas Payable - Beg. Balance</t>
  </si>
  <si>
    <t xml:space="preserve">Exchange Gas Payable - End. Balance</t>
  </si>
  <si>
    <t xml:space="preserve">Accrued Taxes - Beg. Balance</t>
  </si>
  <si>
    <t xml:space="preserve">   Taxes Other than Income</t>
  </si>
  <si>
    <t xml:space="preserve">   Property Tax Payments  (Acct. 2360-200)</t>
  </si>
  <si>
    <t xml:space="preserve">   Misc. Tax. Pay. (Acct. 2360-300/804/999 &amp; 2361-999)</t>
  </si>
  <si>
    <t xml:space="preserve">   Payroll Tax Payments</t>
  </si>
  <si>
    <t xml:space="preserve">      Net Adjustments</t>
  </si>
  <si>
    <t xml:space="preserve">   Income Tax (w/o Capital Cost) Exp.  (Per P/L)</t>
  </si>
  <si>
    <t xml:space="preserve">   Current Payable</t>
  </si>
  <si>
    <t xml:space="preserve">   Tax Payment  (Input Actual Incl. 53K 7/99 Forward)</t>
  </si>
  <si>
    <t xml:space="preserve">      Accrual Amount</t>
  </si>
  <si>
    <t xml:space="preserve">   Total Changes</t>
  </si>
  <si>
    <t xml:space="preserve">   Previous Month Balance - YTD</t>
  </si>
  <si>
    <t xml:space="preserve">Accrued Taxes - End. Balance</t>
  </si>
  <si>
    <t xml:space="preserve">Deferred Taxes (Current) - Beg. Balance</t>
  </si>
  <si>
    <t xml:space="preserve">   Current Month Activity (Def. Taxes Earnings Model)</t>
  </si>
  <si>
    <t xml:space="preserve">   Tax Department Adjustment</t>
  </si>
  <si>
    <t xml:space="preserve">Deferred Taxes (Current) - End. Balance</t>
  </si>
  <si>
    <t xml:space="preserve">Deferred Taxes (Noncurrent) - Beg. Balance</t>
  </si>
  <si>
    <t xml:space="preserve">   Cur. Deferred Tax Offset</t>
  </si>
  <si>
    <t xml:space="preserve">   Act./Est. Adj. (3/00 Remove Overthrust $-64K)</t>
  </si>
  <si>
    <t xml:space="preserve">Deferred Taxes (Noncurrent) - End. Balance</t>
  </si>
  <si>
    <t xml:space="preserve">Accrued Interest - Beg. Balance</t>
  </si>
  <si>
    <t xml:space="preserve">   Long-Term Debt  (External Only)</t>
  </si>
  <si>
    <t xml:space="preserve">   Interest Payments on Long Term Debt</t>
  </si>
  <si>
    <t xml:space="preserve">Accrued Interest - End. Balance</t>
  </si>
  <si>
    <t xml:space="preserve">Other Current Liabilities - Beg. Balance</t>
  </si>
  <si>
    <t xml:space="preserve">   Reserves (Mapped to FF) - Standby Parts Gain Deferral</t>
  </si>
  <si>
    <t xml:space="preserve">        - Rate Case Refund Reserve </t>
  </si>
  <si>
    <t xml:space="preserve">        - Transport</t>
  </si>
  <si>
    <t xml:space="preserve">        - Gas Contract Litigation</t>
  </si>
  <si>
    <t xml:space="preserve">        - Misc.(Def.Interest/Ferraro/Penalty/Def.Well/Other)</t>
  </si>
  <si>
    <t xml:space="preserve">        - Coyanosa </t>
  </si>
  <si>
    <t xml:space="preserve">   Net Payroll Clearing / Accu. Rate Refund Provision / Other</t>
  </si>
  <si>
    <t xml:space="preserve">   Reverse Auction 1 - Payment (Current Portion)</t>
  </si>
  <si>
    <t xml:space="preserve">   Reverse Auction 2 - Payment (Current Portion)</t>
  </si>
  <si>
    <t xml:space="preserve">   Variable Pay (Reclass 3/99) / Bonus / PBA Accrual</t>
  </si>
  <si>
    <t xml:space="preserve">   Market Support / Unclaimed Vouchers</t>
  </si>
  <si>
    <t xml:space="preserve">   SAP Issues (Unknown)</t>
  </si>
  <si>
    <t xml:space="preserve">Other Current Liabilities - End. Balance</t>
  </si>
  <si>
    <t xml:space="preserve">Regulatory Liabilities (Current) - Beg. Balance</t>
  </si>
  <si>
    <t xml:space="preserve">   Ad Valorem Tax Refund - Income        </t>
  </si>
  <si>
    <t xml:space="preserve">   Carlton Resolution Surcharge            </t>
  </si>
  <si>
    <t xml:space="preserve">   PRA Fuel / UAF Deferral                    </t>
  </si>
  <si>
    <t xml:space="preserve">Regulatory Liabilities (Current) - End. Balance</t>
  </si>
  <si>
    <t xml:space="preserve">Regulatory Liabilities (Noncurrent) - Beg. Balance</t>
  </si>
  <si>
    <t xml:space="preserve">Regulatory Liabilities (Noncurrent) - End. Balance</t>
  </si>
  <si>
    <t xml:space="preserve">Other Deferred Credits - Beg. Balance</t>
  </si>
  <si>
    <t xml:space="preserve">   Unamortized Gain on Reacquired Debt</t>
  </si>
  <si>
    <t xml:space="preserve">   Reverse Auction 1 (Incl. 10% Supply)</t>
  </si>
  <si>
    <t xml:space="preserve">   Reverse Auction 2 </t>
  </si>
  <si>
    <t xml:space="preserve">Other Deferred Credits - End. Balance</t>
  </si>
  <si>
    <t xml:space="preserve">Liability Price Risk Management (NonCur.) - Beg. Balance</t>
  </si>
  <si>
    <t xml:space="preserve">   Price Risk Management (El Paso / Base Gas)</t>
  </si>
  <si>
    <t xml:space="preserve">Liability Price Risk Management (NonCur.) - End. Balance</t>
  </si>
  <si>
    <t xml:space="preserve">Payable / (Receivable) From Corporate - Beg. Balance</t>
  </si>
  <si>
    <t xml:space="preserve">   (Increase) / Decrease in Intercompany Cash</t>
  </si>
  <si>
    <t xml:space="preserve">   Payable / Receivable - Enron Corporate Other</t>
  </si>
  <si>
    <t xml:space="preserve">                                  - Enron Corporate CAFCO</t>
  </si>
  <si>
    <t xml:space="preserve">   Dividends to EPC</t>
  </si>
  <si>
    <t xml:space="preserve">   Debt Discount Component</t>
  </si>
  <si>
    <t xml:space="preserve">   Corporate Beginning Balance Adjustment</t>
  </si>
  <si>
    <t xml:space="preserve">Payable / (Receivable) From Corporate - End. Balance</t>
  </si>
  <si>
    <t xml:space="preserve">Long Term Debt - Beg. Balance</t>
  </si>
  <si>
    <t xml:space="preserve">   Principal - $250.0 MM @ 8.0% (Reclass to Cur. Liab.)</t>
  </si>
  <si>
    <t xml:space="preserve">                - $100.0 MM @ 6.875%</t>
  </si>
  <si>
    <t xml:space="preserve">                - $150.0 MM @ 6.75%</t>
  </si>
  <si>
    <t xml:space="preserve">   Debt Discount</t>
  </si>
  <si>
    <t xml:space="preserve">Long Term Debt - End. Balance</t>
  </si>
  <si>
    <t xml:space="preserve">Capitalization - Beg. Balance</t>
  </si>
  <si>
    <t xml:space="preserve">   Net Income - w/o Asset Sales</t>
  </si>
  <si>
    <t xml:space="preserve">         - Net Gain / (Loss) on Asset Sales (External)</t>
  </si>
  <si>
    <t xml:space="preserve">         - Net Gain / (Loss) on Asset Sales (Assoc. Co.)</t>
  </si>
  <si>
    <t xml:space="preserve">   FASB 133 - Comprehensive Income / (Loss)</t>
  </si>
  <si>
    <t xml:space="preserve">                   - Other</t>
  </si>
  <si>
    <t xml:space="preserve">   Dividends to EPC, Trailblazer TPC1 (3/99)</t>
  </si>
  <si>
    <t xml:space="preserve">   Ardmore (3/95), Lucent (11/98, 2/99), Black Marlin (3/99)</t>
  </si>
  <si>
    <t xml:space="preserve">   Act. / Est. Adjustment (Remove Overthrust 3/01)</t>
  </si>
  <si>
    <t xml:space="preserve">Capitalization - End. Balance</t>
  </si>
  <si>
    <t xml:space="preserve">TOTAL LIABILITIES &amp; STOCKHOLDERS EQUITY</t>
  </si>
  <si>
    <t xml:space="preserve">Check # - Cumulative</t>
  </si>
  <si>
    <t xml:space="preserve">             - Current Month</t>
  </si>
  <si>
    <t xml:space="preserve">\P</t>
  </si>
  <si>
    <t xml:space="preserve">:PlbtTITLE1~qqrsASSET1~g</t>
  </si>
  <si>
    <t xml:space="preserve">:PrsASSET2~g</t>
  </si>
  <si>
    <t xml:space="preserve">:PrsASSET3~g</t>
  </si>
  <si>
    <t xml:space="preserve">:PrsASSET4~g</t>
  </si>
  <si>
    <t xml:space="preserve">:PrsASSET5~g</t>
  </si>
  <si>
    <t xml:space="preserve">:PrsLIAB1~g</t>
  </si>
  <si>
    <t xml:space="preserve">:PrsLIAB2~g</t>
  </si>
  <si>
    <t xml:space="preserve">:PrsLIAB3~g</t>
  </si>
  <si>
    <t xml:space="preserve">:PrsLIAB4~g</t>
  </si>
  <si>
    <t xml:space="preserve">TRAILBLAZER &amp; OVERTHRUST PIPELINES</t>
  </si>
  <si>
    <t xml:space="preserve">BLACK MARLIN FAIR VALUE COMPANY (Co. 53K)</t>
  </si>
  <si>
    <t xml:space="preserve">NORTHERN NATURAL GAS COMPANY (Co. 179)</t>
  </si>
  <si>
    <t xml:space="preserve">BALANCE SHEET</t>
  </si>
  <si>
    <t xml:space="preserve">PRINT: </t>
  </si>
  <si>
    <t xml:space="preserve">JUNE</t>
  </si>
  <si>
    <t xml:space="preserve">CURRENT ASSETS</t>
  </si>
  <si>
    <t xml:space="preserve">1</t>
  </si>
  <si>
    <t xml:space="preserve">   Cash &amp; Temporary Cash Investments</t>
  </si>
  <si>
    <t xml:space="preserve">2</t>
  </si>
  <si>
    <t xml:space="preserve">   Accounts Receivable</t>
  </si>
  <si>
    <t xml:space="preserve">I</t>
  </si>
  <si>
    <t xml:space="preserve">   Enron Corporate - Receivable (Acct. 1466)</t>
  </si>
  <si>
    <t xml:space="preserve">                            - Payable (Acct. 1460)</t>
  </si>
  <si>
    <t xml:space="preserve">   Asset Price Risk Management</t>
  </si>
  <si>
    <t xml:space="preserve">3</t>
  </si>
  <si>
    <t xml:space="preserve">   Inventories</t>
  </si>
  <si>
    <t xml:space="preserve">   Materials and Supplies</t>
  </si>
  <si>
    <t xml:space="preserve">4</t>
  </si>
  <si>
    <t xml:space="preserve">   Exchange Gas Receivable</t>
  </si>
  <si>
    <t xml:space="preserve">   (Over) / Under Recovered Gas Cost</t>
  </si>
  <si>
    <t xml:space="preserve">   Prepayments</t>
  </si>
  <si>
    <t xml:space="preserve">   Regulatory Assets</t>
  </si>
  <si>
    <t xml:space="preserve">8</t>
  </si>
  <si>
    <t xml:space="preserve">   Deferred Contract Reformation Costs</t>
  </si>
  <si>
    <t xml:space="preserve">      Total Current Assets</t>
  </si>
  <si>
    <t xml:space="preserve">INVESTMENTS AND OTHER ASSETS</t>
  </si>
  <si>
    <t xml:space="preserve">5</t>
  </si>
  <si>
    <t xml:space="preserve">   Pipeline Partnerships</t>
  </si>
  <si>
    <t xml:space="preserve">      Total Investments &amp; Other Assets</t>
  </si>
  <si>
    <t xml:space="preserve">PLANT</t>
  </si>
  <si>
    <t xml:space="preserve">   Accumulated Depreciation</t>
  </si>
  <si>
    <t xml:space="preserve">6</t>
  </si>
  <si>
    <t xml:space="preserve">      Net Plant</t>
  </si>
  <si>
    <t xml:space="preserve">DEFERRED CHARGES</t>
  </si>
  <si>
    <t xml:space="preserve">   Deferred Contract Reformation Costs </t>
  </si>
  <si>
    <t xml:space="preserve">7</t>
  </si>
  <si>
    <t xml:space="preserve">   Other Regulatory Assets</t>
  </si>
  <si>
    <t xml:space="preserve">9</t>
  </si>
  <si>
    <t xml:space="preserve">   Deferred Severance / Relocation Charges</t>
  </si>
  <si>
    <t xml:space="preserve">      Total Deferred Charges</t>
  </si>
  <si>
    <t xml:space="preserve">            TOTAL ASSETS</t>
  </si>
  <si>
    <t xml:space="preserve">CURRENT LIABILITIES</t>
  </si>
  <si>
    <t xml:space="preserve">A</t>
  </si>
  <si>
    <t xml:space="preserve">   Accounts Payable - Assoc. Companies / Trade</t>
  </si>
  <si>
    <t xml:space="preserve">                               - Other</t>
  </si>
  <si>
    <t xml:space="preserve">B</t>
  </si>
  <si>
    <t xml:space="preserve">   Liability Price Risk Management</t>
  </si>
  <si>
    <t xml:space="preserve">   Exchange Gas Payable</t>
  </si>
  <si>
    <t xml:space="preserve">   Accrued Taxes</t>
  </si>
  <si>
    <t xml:space="preserve">C</t>
  </si>
  <si>
    <t xml:space="preserve">   Deferred Income Taxes - Current</t>
  </si>
  <si>
    <t xml:space="preserve">   Accrued Interest</t>
  </si>
  <si>
    <t xml:space="preserve">F</t>
  </si>
  <si>
    <t xml:space="preserve">   Regulatory Liabilities</t>
  </si>
  <si>
    <t xml:space="preserve">H</t>
  </si>
  <si>
    <t xml:space="preserve">      Total Current Liabilities</t>
  </si>
  <si>
    <t xml:space="preserve">DEFERRED CREDITS AND OTHER LIABILITIES</t>
  </si>
  <si>
    <t xml:space="preserve">D</t>
  </si>
  <si>
    <t xml:space="preserve">   Deferred Income Taxes</t>
  </si>
  <si>
    <t xml:space="preserve">G</t>
  </si>
  <si>
    <t xml:space="preserve">   Other Regulatory Liabilities</t>
  </si>
  <si>
    <t xml:space="preserve">      Total Deferred Credits &amp; Other Liabilities</t>
  </si>
  <si>
    <t xml:space="preserve">DEBT </t>
  </si>
  <si>
    <t xml:space="preserve">   Payable / (Receivable) from Corporate</t>
  </si>
  <si>
    <t xml:space="preserve">J</t>
  </si>
  <si>
    <t xml:space="preserve">   Long-term Debt - External</t>
  </si>
  <si>
    <t xml:space="preserve">                          - Assoc. Companies</t>
  </si>
  <si>
    <t xml:space="preserve">      Total Debt</t>
  </si>
  <si>
    <t xml:space="preserve">EQUITY</t>
  </si>
  <si>
    <t xml:space="preserve">   Common Stock</t>
  </si>
  <si>
    <t xml:space="preserve">   Paid-in Capital</t>
  </si>
  <si>
    <t xml:space="preserve">   Accumulated Other Comprehensive Income</t>
  </si>
  <si>
    <t xml:space="preserve">   Retained Earnings</t>
  </si>
  <si>
    <t xml:space="preserve">K</t>
  </si>
  <si>
    <t xml:space="preserve">      Total Equity</t>
  </si>
  <si>
    <t xml:space="preserve">            TOTAL LIABILITIES &amp; EQUITY</t>
  </si>
  <si>
    <t xml:space="preserve">      CHECK #</t>
  </si>
  <si>
    <t xml:space="preserve">PRINT: RONCEMO</t>
  </si>
  <si>
    <t xml:space="preserve">AVERAGE NET CAPITAL EMPLOYED</t>
  </si>
  <si>
    <t xml:space="preserve">PRINT: RONCEMO93</t>
  </si>
  <si>
    <t xml:space="preserve">ROLLING</t>
  </si>
  <si>
    <t xml:space="preserve">AVERAGE</t>
  </si>
  <si>
    <t xml:space="preserve">1993</t>
  </si>
  <si>
    <t xml:space="preserve">ACT./EST.</t>
  </si>
  <si>
    <t xml:space="preserve">1992</t>
  </si>
  <si>
    <t xml:space="preserve"> ACT./EST.</t>
  </si>
  <si>
    <t xml:space="preserve">NET CAPITAL EMPLOYED</t>
  </si>
  <si>
    <t xml:space="preserve">   ASSETS</t>
  </si>
  <si>
    <t xml:space="preserve">       Cash</t>
  </si>
  <si>
    <t xml:space="preserve">       Accounts Receivable</t>
  </si>
  <si>
    <t xml:space="preserve">       Receivable from Corporate</t>
  </si>
  <si>
    <t xml:space="preserve">       Inventories</t>
  </si>
  <si>
    <t xml:space="preserve">       Prepaid &amp; Other Assets</t>
  </si>
  <si>
    <t xml:space="preserve">       Property - Net</t>
  </si>
  <si>
    <t xml:space="preserve">       Other Tangible Assets</t>
  </si>
  <si>
    <t xml:space="preserve">       Intangible Assets</t>
  </si>
  <si>
    <t xml:space="preserve">          Total Assets</t>
  </si>
  <si>
    <t xml:space="preserve">   LESS:</t>
  </si>
  <si>
    <t xml:space="preserve">   INTEREST FREE LIABILITIES</t>
  </si>
  <si>
    <t xml:space="preserve">       Accounts Payable</t>
  </si>
  <si>
    <t xml:space="preserve">       Accrued Liabilities</t>
  </si>
  <si>
    <t xml:space="preserve">       Current Tax Liabilities</t>
  </si>
  <si>
    <t xml:space="preserve">       Deferred Tax Liabilities</t>
  </si>
  <si>
    <t xml:space="preserve">       Other Liabilities</t>
  </si>
  <si>
    <t xml:space="preserve">          Total Interest Free Liabilities</t>
  </si>
  <si>
    <t xml:space="preserve">   SOURCES OF NET CAPITAL EMPLOYED</t>
  </si>
  <si>
    <t xml:space="preserve">       Short-Term Payable - Corporate</t>
  </si>
  <si>
    <t xml:space="preserve">       Short-Term payable (rec.) - Corporate</t>
  </si>
  <si>
    <t xml:space="preserve">       Long-Term Payable - Corporate</t>
  </si>
  <si>
    <t xml:space="preserve">       Long-Term payable - Corporate</t>
  </si>
  <si>
    <t xml:space="preserve">       Third Party Debt</t>
  </si>
  <si>
    <t xml:space="preserve">          Total Debt</t>
  </si>
  <si>
    <t xml:space="preserve">          Total Equity</t>
  </si>
  <si>
    <t xml:space="preserve">TOTAL NET CAPITAL EMPLOYED</t>
  </si>
  <si>
    <t xml:space="preserve">TOTAL NET INCOME (BEFORE CAPITAL COSTS)</t>
  </si>
  <si>
    <t xml:space="preserve">RONCE</t>
  </si>
  <si>
    <t xml:space="preserve">PRINT: CORPBS</t>
  </si>
  <si>
    <t xml:space="preserve">BALANCE SHEET ANALYSIS</t>
  </si>
  <si>
    <t xml:space="preserve">PRINT: CORPBS93</t>
  </si>
  <si>
    <t xml:space="preserve">ASSETS</t>
  </si>
  <si>
    <t xml:space="preserve">    Cash</t>
  </si>
  <si>
    <t xml:space="preserve">    Accounts Receivable</t>
  </si>
  <si>
    <t xml:space="preserve">    Receivable from Corporate</t>
  </si>
  <si>
    <t xml:space="preserve">    Materials &amp; Supplies</t>
  </si>
  <si>
    <t xml:space="preserve">    Prepaid &amp; Other Assets</t>
  </si>
  <si>
    <t xml:space="preserve">    Investments</t>
  </si>
  <si>
    <t xml:space="preserve">    Property - Net</t>
  </si>
  <si>
    <t xml:space="preserve">    Development Costs</t>
  </si>
  <si>
    <t xml:space="preserve">    Deferred Regulatory Assets</t>
  </si>
  <si>
    <t xml:space="preserve">    Deferred Contract Reformation Costs</t>
  </si>
  <si>
    <t xml:space="preserve">    Other Tangible Assets</t>
  </si>
  <si>
    <t xml:space="preserve">    Other Intangible Assets</t>
  </si>
  <si>
    <t xml:space="preserve">         Total Assets</t>
  </si>
  <si>
    <t xml:space="preserve">LIABILITIES</t>
  </si>
  <si>
    <t xml:space="preserve">    Accounts Payable</t>
  </si>
  <si>
    <t xml:space="preserve">    Accrued Liabilities</t>
  </si>
  <si>
    <t xml:space="preserve">    Bill in Excess of Costs</t>
  </si>
  <si>
    <t xml:space="preserve">    Current Tax Liabilities</t>
  </si>
  <si>
    <t xml:space="preserve">    Deferred Tax Liabilities</t>
  </si>
  <si>
    <t xml:space="preserve">    Deferred Construction Profits / Performance Bonus</t>
  </si>
  <si>
    <t xml:space="preserve">E</t>
  </si>
  <si>
    <t xml:space="preserve">    Deferred PAGUS Revenue</t>
  </si>
  <si>
    <t xml:space="preserve">    Deferred TCR Revenue</t>
  </si>
  <si>
    <t xml:space="preserve">    Deferred GSR / PGA Revenue</t>
  </si>
  <si>
    <t xml:space="preserve">    Other Regulatory Liabilities</t>
  </si>
  <si>
    <t xml:space="preserve">    Other Liabilities</t>
  </si>
  <si>
    <t xml:space="preserve">         Total Liabilities </t>
  </si>
  <si>
    <t xml:space="preserve">CAPITAL</t>
  </si>
  <si>
    <t xml:space="preserve">    Payable / (Receivable) from Corporate</t>
  </si>
  <si>
    <t xml:space="preserve">    Long-term Debt - External</t>
  </si>
  <si>
    <t xml:space="preserve">    Capitalization</t>
  </si>
  <si>
    <t xml:space="preserve">         Total Capital</t>
  </si>
  <si>
    <t xml:space="preserve">    Total Liabilities and Capital</t>
  </si>
  <si>
    <t xml:space="preserve">\P </t>
  </si>
  <si>
    <t xml:space="preserve">:PlbtTITLE1~qqrsMOASSET~g</t>
  </si>
  <si>
    <t xml:space="preserve">:PrsMOLIAB~g</t>
  </si>
  <si>
    <t xml:space="preserve">\R</t>
  </si>
  <si>
    <t xml:space="preserve">:PlbtTITLE2~qqrs93ASSET~g</t>
  </si>
  <si>
    <t xml:space="preserve">:Prs93LIAB~g</t>
  </si>
  <si>
    <t xml:space="preserve">PRINT: PRINT</t>
  </si>
  <si>
    <t xml:space="preserve">CASH FLOW STATEMENT</t>
  </si>
  <si>
    <t xml:space="preserve">PRINT: COMPARE</t>
  </si>
  <si>
    <t xml:space="preserve">PLAN</t>
  </si>
  <si>
    <t xml:space="preserve">SEPT.</t>
  </si>
  <si>
    <t xml:space="preserve">ACT./EST. vs. PLAN</t>
  </si>
  <si>
    <t xml:space="preserve">2nd C.E.</t>
  </si>
  <si>
    <t xml:space="preserve">Sept. YTD</t>
  </si>
  <si>
    <t xml:space="preserve">ANNUAL</t>
  </si>
  <si>
    <t xml:space="preserve">Variance</t>
  </si>
  <si>
    <t xml:space="preserve">CASH FLOW FROM OPERATING ACTIVITIES</t>
  </si>
  <si>
    <t xml:space="preserve">   Net Income </t>
  </si>
  <si>
    <t xml:space="preserve">   Items not affecting Working Capital:</t>
  </si>
  <si>
    <t xml:space="preserve">      Depreciation and Amortization</t>
  </si>
  <si>
    <t xml:space="preserve">      Regulatory Amortization - TCR</t>
  </si>
  <si>
    <t xml:space="preserve">      Deferred Income Taxes - Both Current and Noncurrent </t>
  </si>
  <si>
    <t xml:space="preserve">   Working Capital Changes:</t>
  </si>
  <si>
    <t xml:space="preserve">      Accounts and Notes Receivable - Trade Only (6/01 Forward)</t>
  </si>
  <si>
    <t xml:space="preserve">      Inventories</t>
  </si>
  <si>
    <t xml:space="preserve">      Accounts Payable - Trade Only (6/01 Forward)</t>
  </si>
  <si>
    <t xml:space="preserve">                    - Other</t>
  </si>
  <si>
    <t xml:space="preserve">      Over / (Under) Recovered Gas Cost</t>
  </si>
  <si>
    <t xml:space="preserve">      Exchange Gas - Receivable</t>
  </si>
  <si>
    <t xml:space="preserve">                    - Payable</t>
  </si>
  <si>
    <t xml:space="preserve">      Prepayments</t>
  </si>
  <si>
    <t xml:space="preserve">      Accrued Interest - Third Party</t>
  </si>
  <si>
    <t xml:space="preserve">      Accrued Taxes, other than income</t>
  </si>
  <si>
    <t xml:space="preserve">      Other Current Assets or Liabilities (W/O Reserve Activity)</t>
  </si>
  <si>
    <t xml:space="preserve">   Price Risk Management Activities (Net)</t>
  </si>
  <si>
    <t xml:space="preserve">   Equity Earnings</t>
  </si>
  <si>
    <t xml:space="preserve">   Equity / Partner. Distributions / Overthrust Sale (Book Basis)</t>
  </si>
  <si>
    <t xml:space="preserve">   Net (Gain) / Loss on Sale of Assets</t>
  </si>
  <si>
    <t xml:space="preserve">   Other Regulatory Assets / Liabilities</t>
  </si>
  <si>
    <t xml:space="preserve">   Other (Incl. All Capital Costs &amp; Current Reserve Activity) </t>
  </si>
  <si>
    <t xml:space="preserve">      Cash Provided by Operating Activities</t>
  </si>
  <si>
    <t xml:space="preserve">CASH FLOW FROM INVESTING ACTIVITIES</t>
  </si>
  <si>
    <t xml:space="preserve">   Proceeds from Sale (Various)</t>
  </si>
  <si>
    <t xml:space="preserve">   Additions to Property </t>
  </si>
  <si>
    <t xml:space="preserve">   Other Capital Expenditures</t>
  </si>
  <si>
    <t xml:space="preserve">   Other Investments (McDay Energy / Misc.)</t>
  </si>
  <si>
    <t xml:space="preserve">   Other (Net Salvage &amp; Removal)</t>
  </si>
  <si>
    <t xml:space="preserve">      Cash Provided by (Used in) Investing Activities</t>
  </si>
  <si>
    <t xml:space="preserve">            Net Cash Flow Before Corporate Adjustments</t>
  </si>
  <si>
    <t xml:space="preserve">OTHER ITEMS AFFECTING INTERCO. (CORP.) BALANCE</t>
  </si>
  <si>
    <t xml:space="preserve">   Dividends Transferred to EPC </t>
  </si>
  <si>
    <t xml:space="preserve">   Inc. / (Dec.) in Long-Term Debt  (External)</t>
  </si>
  <si>
    <t xml:space="preserve">   Inc. / (Dec.) in Long-Term Debt Discount </t>
  </si>
  <si>
    <t xml:space="preserve">   Contribution from Parent </t>
  </si>
  <si>
    <t xml:space="preserve">      Total Items Affecting Intercompany (Corp.) Balance</t>
  </si>
  <si>
    <t xml:space="preserve">INCREASE / (DECREASE) IN INTERCOMPANY CASH</t>
  </si>
  <si>
    <t xml:space="preserve">      Change in Other Obligations</t>
  </si>
  <si>
    <t xml:space="preserve">INCREASE / (DECREASE) IN TOTAL OBLIGATIONS</t>
  </si>
  <si>
    <t xml:space="preserve">PRINT: CORPCASH</t>
  </si>
  <si>
    <t xml:space="preserve">TOTAL OBLIGATIONS</t>
  </si>
  <si>
    <t xml:space="preserve">PRINT: CORPSUM</t>
  </si>
  <si>
    <t xml:space="preserve">Cash Flow From Operations</t>
  </si>
  <si>
    <t xml:space="preserve">      Net Income After Financing Costs</t>
  </si>
  <si>
    <t xml:space="preserve">      Depreciation, Depletion, and Amortization</t>
  </si>
  <si>
    <t xml:space="preserve">      Amortization of Contract Reformation Costs</t>
  </si>
  <si>
    <t xml:space="preserve">      Deferred Income Taxes - Noncurrent Only</t>
  </si>
  <si>
    <t xml:space="preserve">      Deferred Revenue</t>
  </si>
  <si>
    <t xml:space="preserve">      Unrealized (Gain) / Loss on Price Risk Mgmt Activities</t>
  </si>
  <si>
    <t xml:space="preserve">      Oil &amp; Gas Exploration Expenses</t>
  </si>
  <si>
    <t xml:space="preserve">            Total Cash Flow From Operations</t>
  </si>
  <si>
    <t xml:space="preserve">Working Capital Changes</t>
  </si>
  <si>
    <t xml:space="preserve">      Accrued Income Taxes</t>
  </si>
  <si>
    <t xml:space="preserve">      Tax Refunds / Payments</t>
  </si>
  <si>
    <t xml:space="preserve">      Others, Net </t>
  </si>
  <si>
    <t xml:space="preserve">Equity Earnings</t>
  </si>
  <si>
    <t xml:space="preserve">Equity / Partnership Distributions</t>
  </si>
  <si>
    <t xml:space="preserve">Proceeds from Sale of Investments</t>
  </si>
  <si>
    <t xml:space="preserve">Capital Expenditures (Excluding Interco. Transactions)</t>
  </si>
  <si>
    <t xml:space="preserve">Equity Investments</t>
  </si>
  <si>
    <t xml:space="preserve">Others, Net </t>
  </si>
  <si>
    <t xml:space="preserve">Net Cash Flow</t>
  </si>
  <si>
    <t xml:space="preserve">Other Items Affecting Interco. Cash Balance with Corporate</t>
  </si>
  <si>
    <t xml:space="preserve">      Third Party Debt Increase / (Decrease)</t>
  </si>
  <si>
    <t xml:space="preserve">      Dividends Paid to Corporate</t>
  </si>
  <si>
    <t xml:space="preserve">      Dividends Paid to Outside Parties / Other</t>
  </si>
  <si>
    <t xml:space="preserve">      Restricted / Retained Cash</t>
  </si>
  <si>
    <t xml:space="preserve">Increase / (Decrease) in Cash Balance with Corporate </t>
  </si>
  <si>
    <t xml:space="preserve">Change in Other Obligations</t>
  </si>
  <si>
    <t xml:space="preserve">Increase / (Decrease) in Total Obligations</t>
  </si>
  <si>
    <t xml:space="preserve">         Total Working Capital Changes</t>
  </si>
  <si>
    <t xml:space="preserve">PRINT: FUNDSMO</t>
  </si>
  <si>
    <t xml:space="preserve">FUNDS FLOW STATEMENT</t>
  </si>
  <si>
    <t xml:space="preserve">PRINT: FUNDSUM</t>
  </si>
  <si>
    <t xml:space="preserve">   Items not affecting Cash:</t>
  </si>
  <si>
    <t xml:space="preserve">      Deferred Income Taxes</t>
  </si>
  <si>
    <t xml:space="preserve">      Net (Gain) / Loss on Sale of Assets</t>
  </si>
  <si>
    <t xml:space="preserve">            Total Funds Flow From Operations</t>
  </si>
  <si>
    <t xml:space="preserve">      Accounts Receivable (Including Exchange Gas Rec.)</t>
  </si>
  <si>
    <t xml:space="preserve">      Accounts Payable &amp; Other (Including Exchange Gas Pay.)</t>
  </si>
  <si>
    <t xml:space="preserve">      Other (Including Inventory and Prepayments)</t>
  </si>
  <si>
    <t xml:space="preserve">            Total Working Capital Changes</t>
  </si>
  <si>
    <t xml:space="preserve">TOTAL CASH FLOW FROM OPERATING ACTIVITIES</t>
  </si>
  <si>
    <t xml:space="preserve">NET CASH FLOW</t>
  </si>
  <si>
    <t xml:space="preserve">PRINT: OTHERMO</t>
  </si>
  <si>
    <t xml:space="preserve">FUNDS FLOW STATEMENT - "OTHER"</t>
  </si>
  <si>
    <t xml:space="preserve">PRINT: OTHERSUM</t>
  </si>
  <si>
    <t xml:space="preserve"> " OTHER "</t>
  </si>
  <si>
    <t xml:space="preserve">   Change in Other Regulatory Assets</t>
  </si>
  <si>
    <t xml:space="preserve">         "     "      "           "        Liabilities</t>
  </si>
  <si>
    <t xml:space="preserve">      Net Change in Regulatory Assets / Liabilities</t>
  </si>
  <si>
    <t xml:space="preserve">   Other Items (Cash Flow Model)</t>
  </si>
  <si>
    <t xml:space="preserve">      Change in Cash / Temporary Cash Investments</t>
  </si>
  <si>
    <t xml:space="preserve">      Change in Invest. &amp; Other Assets</t>
  </si>
  <si>
    <t xml:space="preserve">Other Invest.in 1999</t>
  </si>
  <si>
    <t xml:space="preserve">      Change in Deferred Charges</t>
  </si>
  <si>
    <t xml:space="preserve">      Change in Deferred Credits </t>
  </si>
  <si>
    <t xml:space="preserve">      Gross Plant</t>
  </si>
  <si>
    <t xml:space="preserve">          Reserve Adjustments </t>
  </si>
  <si>
    <t xml:space="preserve">          Storage Imbalance (Acct.117.4) </t>
  </si>
  <si>
    <t xml:space="preserve">Funds Flow in 1998</t>
  </si>
  <si>
    <t xml:space="preserve">          Retirements at Cost</t>
  </si>
  <si>
    <t xml:space="preserve">      Accumulated Depreciation</t>
  </si>
  <si>
    <t xml:space="preserve">          Reserve Adj. / Pipe Recoating</t>
  </si>
  <si>
    <t xml:space="preserve">          Retirement of Reserves</t>
  </si>
  <si>
    <t xml:space="preserve">      Other (Was Ardmore Capitalization 3/95)</t>
  </si>
  <si>
    <t xml:space="preserve">         Subtotal (Cash Flow Model)</t>
  </si>
  <si>
    <t xml:space="preserve">   Other Tie Out Items (Financial Reporting)</t>
  </si>
  <si>
    <t xml:space="preserve">      FASB 133 - Comprehensive Income / (Loss) Tax Adjustment</t>
  </si>
  <si>
    <t xml:space="preserve">      Overthrust Removal (Net Income Offset Adjustment)</t>
  </si>
  <si>
    <t xml:space="preserve">      Overthrust Removal (Deferred Taxes Adjustment)</t>
  </si>
  <si>
    <t xml:space="preserve">      Property Summary - GR/IR Clearing</t>
  </si>
  <si>
    <t xml:space="preserve">      Other</t>
  </si>
  <si>
    <t xml:space="preserve">      Gain / (Loss) Offset - Various Property Sales</t>
  </si>
  <si>
    <t xml:space="preserve">      Proceeds Offset</t>
  </si>
  <si>
    <t xml:space="preserve">      Long Term Debt Discount FF Reporting Change 2/00</t>
  </si>
  <si>
    <t xml:space="preserve">      McDay Energy Loan (Investing Activity 7/99 Forward)</t>
  </si>
  <si>
    <t xml:space="preserve">      Total Current Liability Reserve Activity</t>
  </si>
  <si>
    <t xml:space="preserve">         McDay Reserve Adjustment</t>
  </si>
  <si>
    <t xml:space="preserve">      Long Term Debt Discount</t>
  </si>
  <si>
    <t xml:space="preserve">      Hyperion Adjust. / Reversal (DD&amp;A and Deferred Taxes)</t>
  </si>
  <si>
    <t xml:space="preserve">      Others, net</t>
  </si>
  <si>
    <t xml:space="preserve">         Subtotal (Financial Reporting)</t>
  </si>
  <si>
    <t xml:space="preserve">      Total Other Items</t>
  </si>
  <si>
    <t xml:space="preserve">TOTAL " OTHER "</t>
  </si>
  <si>
    <t xml:space="preserve">PRINT:  PAGE1</t>
  </si>
  <si>
    <t xml:space="preserve">   " LINKED ITEMS FROM BACKUP FILE "</t>
  </si>
  <si>
    <t xml:space="preserve">ORIGINAL</t>
  </si>
  <si>
    <t xml:space="preserve">OTHER</t>
  </si>
  <si>
    <t xml:space="preserve">OINVEST</t>
  </si>
  <si>
    <t xml:space="preserve">ADPRP</t>
  </si>
  <si>
    <t xml:space="preserve">OTCAP</t>
  </si>
  <si>
    <t xml:space="preserve">PROCD</t>
  </si>
  <si>
    <t xml:space="preserve">WASH</t>
  </si>
  <si>
    <t xml:space="preserve">DEPR.</t>
  </si>
  <si>
    <t xml:space="preserve">INVSTOT</t>
  </si>
  <si>
    <t xml:space="preserve">DCRC</t>
  </si>
  <si>
    <t xml:space="preserve">REGAM</t>
  </si>
  <si>
    <t xml:space="preserve">Other Current Liabilities</t>
  </si>
  <si>
    <t xml:space="preserve">O-REG</t>
  </si>
  <si>
    <t xml:space="preserve">LT DEBT</t>
  </si>
  <si>
    <t xml:space="preserve">CNTPR</t>
  </si>
  <si>
    <t xml:space="preserve">=</t>
  </si>
  <si>
    <t xml:space="preserve">PRINT:  VARPLAN</t>
  </si>
  <si>
    <t xml:space="preserve">(CORPORATE ACCRUAL)</t>
  </si>
  <si>
    <t xml:space="preserve">NET</t>
  </si>
  <si>
    <t xml:space="preserve"> BEFORE</t>
  </si>
  <si>
    <t xml:space="preserve"> AFTER</t>
  </si>
  <si>
    <t xml:space="preserve">CASH</t>
  </si>
  <si>
    <t xml:space="preserve">1995 ORIGINAL OPERATING PLAN</t>
  </si>
  <si>
    <t xml:space="preserve">CASH FLOW FROM OPERATIONS</t>
  </si>
  <si>
    <t xml:space="preserve">WORKING CAPITAL &amp; OTHER CHANGES</t>
  </si>
  <si>
    <t xml:space="preserve">      - Other</t>
  </si>
  <si>
    <t xml:space="preserve">      - Severance (Involuntary / Voluntary) </t>
  </si>
  <si>
    <t xml:space="preserve">      - Unamortized Debt Expense</t>
  </si>
  <si>
    <t xml:space="preserve">      - Other Deferred Charges (Actual Adjust.)</t>
  </si>
  <si>
    <t xml:space="preserve">      - Other Deferred Credits (Actual Adjust.)</t>
  </si>
  <si>
    <t xml:space="preserve">      - Miscellaneous</t>
  </si>
  <si>
    <t xml:space="preserve">            Cash Provided by (Used in) Operating Activities</t>
  </si>
  <si>
    <t xml:space="preserve">PRINT:  VARCE</t>
  </si>
  <si>
    <t xml:space="preserve">1994 THIRD CURRENT ESTIMATE or ACTUAL</t>
  </si>
  <si>
    <t xml:space="preserve">(3rd C.E. Inv. to Plant Trans. $48.2 MM)</t>
  </si>
  <si>
    <t xml:space="preserve">      - FAS 109 Adjustment (1993)</t>
  </si>
  <si>
    <t xml:space="preserve">      - IMP Noncurrent Deferred Tax Adjustment</t>
  </si>
  <si>
    <t xml:space="preserve">      - Misc. ('93-IRS Audit $-4.1, Nonrec. Adv. $-4.0, FAS 96 Pres. Val. $-2.4)</t>
  </si>
  <si>
    <t xml:space="preserve">('93-IMP Trans. $60.1, Inv. to Plant $55.7 MM)</t>
  </si>
  <si>
    <t xml:space="preserve">            Cash Provided by (Used in) Investing Activities</t>
  </si>
  <si>
    <t xml:space="preserve">\L</t>
  </si>
  <si>
    <t xml:space="preserve">:PlbtTITLE1~qqrsPAGE1~g</t>
  </si>
  <si>
    <t xml:space="preserve">:PrsPAGE2~g</t>
  </si>
  <si>
    <t xml:space="preserve">NORTHERN NATURAL GAS COMPANY (Co. 179 / 53K)</t>
  </si>
  <si>
    <t xml:space="preserve">PRINT: CFPARTNERSHIP</t>
  </si>
  <si>
    <t xml:space="preserve">PRINT: CFNNG&amp;53K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</si>
</sst>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_)"/>
    <numFmt numFmtId="166" formatCode="dd\-mmm\-yy_)"/>
    <numFmt numFmtId="167" formatCode="hh:mm\ AM/PM_)"/>
    <numFmt numFmtId="168" formatCode="[$-409]d\-mmm\-yy"/>
    <numFmt numFmtId="169" formatCode="@"/>
    <numFmt numFmtId="170" formatCode="[$-409]h:mm\ AM/PM"/>
    <numFmt numFmtId="171" formatCode="[$-409]#,##0_);\(#,##0\)"/>
    <numFmt numFmtId="172" formatCode="mm/dd/yy_)"/>
    <numFmt numFmtId="173" formatCode="0.0%"/>
    <numFmt numFmtId="174" formatCode="\$#,##0_);&quot;($&quot;#,##0\)"/>
    <numFmt numFmtId="175" formatCode="#,##0.0_);\(#,##0.0\)"/>
    <numFmt numFmtId="176" formatCode="dd\-mmm\-yy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sz val="10"/>
      <color rgb="FF00FFFF"/>
      <name val="Arial"/>
      <family val="2"/>
    </font>
    <font>
      <sz val="10"/>
      <color rgb="FF008000"/>
      <name val="Arial"/>
      <family val="2"/>
    </font>
    <font>
      <u val="double"/>
      <sz val="10"/>
      <name val="Arial"/>
      <family val="2"/>
    </font>
    <font>
      <u val="single"/>
      <sz val="10"/>
      <color rgb="FFFF0000"/>
      <name val="Arial"/>
      <family val="2"/>
    </font>
    <font>
      <sz val="10"/>
      <color rgb="FF0000FF"/>
      <name val="Arial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ntique Olive"/>
      <family val="2"/>
    </font>
    <font>
      <b val="true"/>
      <u val="single"/>
      <sz val="10"/>
      <color rgb="FF000000"/>
      <name val="Arial"/>
      <family val="2"/>
    </font>
    <font>
      <b val="true"/>
      <u val="single"/>
      <sz val="10"/>
      <name val="Antique Olive"/>
      <family val="2"/>
    </font>
    <font>
      <u val="single"/>
      <sz val="10"/>
      <color rgb="FFFF00FF"/>
      <name val="Arial"/>
      <family val="2"/>
    </font>
    <font>
      <sz val="10"/>
      <color rgb="FF993366"/>
      <name val="Arial"/>
      <family val="2"/>
    </font>
    <font>
      <u val="single"/>
      <sz val="10"/>
      <color rgb="FF000000"/>
      <name val="Arial"/>
      <family val="2"/>
    </font>
    <font>
      <b val="true"/>
      <u val="double"/>
      <sz val="10"/>
      <name val="Arial"/>
      <family val="2"/>
    </font>
    <font>
      <b val="true"/>
      <u val="single"/>
      <sz val="10"/>
      <name val="Arial"/>
      <family val="0"/>
    </font>
    <font>
      <sz val="8"/>
      <name val="Arial"/>
      <family val="2"/>
    </font>
    <font>
      <b val="true"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0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2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1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2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1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13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ACKUP" xfId="20"/>
    <cellStyle name="Normal_BALSHEET" xfId="21"/>
    <cellStyle name="Normal_CASHFLOW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624600</xdr:colOff>
          <xdr:row>4</xdr:row>
          <xdr:rowOff>0</xdr:rowOff>
        </xdr:from>
        <xdr:to>
          <xdr:col>1</xdr:col>
          <xdr:colOff>-1807920</xdr:colOff>
          <xdr:row>7</xdr:row>
          <xdr:rowOff>66240</xdr:rowOff>
        </xdr:to>
        <xdr:sp>
          <xdr:nvSpPr>
            <xdr:cNvPr id="1001" name="Button 1" descr="Print Backup P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Backup Pages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924840</xdr:colOff>
          <xdr:row>3</xdr:row>
          <xdr:rowOff>9360</xdr:rowOff>
        </xdr:from>
        <xdr:to>
          <xdr:col>2</xdr:col>
          <xdr:colOff>-1204920</xdr:colOff>
          <xdr:row>6</xdr:row>
          <xdr:rowOff>85680</xdr:rowOff>
        </xdr:to>
        <xdr:sp>
          <xdr:nvSpPr>
            <xdr:cNvPr id="1001" name="Button 1" descr="Print Balance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Balance Sheet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1560600</xdr:colOff>
          <xdr:row>2</xdr:row>
          <xdr:rowOff>104760</xdr:rowOff>
        </xdr:from>
        <xdr:to>
          <xdr:col>1</xdr:col>
          <xdr:colOff>81000</xdr:colOff>
          <xdr:row>5</xdr:row>
          <xdr:rowOff>162000</xdr:rowOff>
        </xdr:to>
        <xdr:sp>
          <xdr:nvSpPr>
            <xdr:cNvPr id="1001" name="Button 1" descr="Print Cash Flo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Cash Flow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NNG01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Sales&amp;Liq-COS"/>
      <sheetName val="Transport"/>
      <sheetName val="OtherRev"/>
      <sheetName val="O&amp;M"/>
      <sheetName val="Trackers"/>
      <sheetName val="RegAmort"/>
      <sheetName val="TC&amp;S"/>
      <sheetName val="Fuel-Depr-OtherTax"/>
      <sheetName val="OtherInc"/>
      <sheetName val="IntDeduct"/>
      <sheetName val="DeferredTax"/>
      <sheetName val="IncomeState"/>
      <sheetName val="Source"/>
      <sheetName val="Mymod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C24">
            <v>26</v>
          </cell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26</v>
          </cell>
          <cell r="M24">
            <v>26</v>
          </cell>
          <cell r="N24">
            <v>26</v>
          </cell>
        </row>
      </sheetData>
      <sheetData sheetId="9"/>
      <sheetData sheetId="10"/>
      <sheetData sheetId="11">
        <row r="71">
          <cell r="R71">
            <v>-9</v>
          </cell>
          <cell r="S71">
            <v>-9</v>
          </cell>
          <cell r="T71">
            <v>-9</v>
          </cell>
          <cell r="U71">
            <v>-9</v>
          </cell>
          <cell r="V71">
            <v>-9</v>
          </cell>
          <cell r="W71">
            <v>-10</v>
          </cell>
          <cell r="X71">
            <v>-9</v>
          </cell>
          <cell r="Y71">
            <v>-9</v>
          </cell>
          <cell r="Z71">
            <v>-9</v>
          </cell>
          <cell r="AA71">
            <v>-9</v>
          </cell>
          <cell r="AB71">
            <v>-9</v>
          </cell>
          <cell r="AC71">
            <v>-9</v>
          </cell>
        </row>
      </sheetData>
      <sheetData sheetId="12">
        <row r="124">
          <cell r="C124">
            <v>28</v>
          </cell>
          <cell r="D124">
            <v>28</v>
          </cell>
          <cell r="E124">
            <v>29</v>
          </cell>
          <cell r="F124">
            <v>28</v>
          </cell>
          <cell r="G124">
            <v>28</v>
          </cell>
          <cell r="H124">
            <v>28</v>
          </cell>
          <cell r="I124">
            <v>29</v>
          </cell>
          <cell r="J124">
            <v>28</v>
          </cell>
          <cell r="K124">
            <v>28</v>
          </cell>
          <cell r="L124">
            <v>28</v>
          </cell>
          <cell r="M124">
            <v>28</v>
          </cell>
          <cell r="N124">
            <v>28</v>
          </cell>
        </row>
        <row r="152">
          <cell r="C152">
            <v>268</v>
          </cell>
          <cell r="D152">
            <v>199</v>
          </cell>
          <cell r="E152">
            <v>195</v>
          </cell>
          <cell r="F152">
            <v>534</v>
          </cell>
          <cell r="G152">
            <v>195</v>
          </cell>
          <cell r="H152">
            <v>237</v>
          </cell>
          <cell r="I152">
            <v>202</v>
          </cell>
          <cell r="J152">
            <v>180</v>
          </cell>
          <cell r="K152">
            <v>200</v>
          </cell>
          <cell r="L152">
            <v>244</v>
          </cell>
          <cell r="M152">
            <v>258</v>
          </cell>
          <cell r="N152">
            <v>1</v>
          </cell>
        </row>
        <row r="153">
          <cell r="C153">
            <v>-84</v>
          </cell>
          <cell r="D153">
            <v>-84</v>
          </cell>
          <cell r="E153">
            <v>-85</v>
          </cell>
          <cell r="F153">
            <v>-85</v>
          </cell>
          <cell r="G153">
            <v>-84</v>
          </cell>
          <cell r="H153">
            <v>-85</v>
          </cell>
          <cell r="I153">
            <v>-84</v>
          </cell>
          <cell r="J153">
            <v>-85</v>
          </cell>
          <cell r="K153">
            <v>-84</v>
          </cell>
          <cell r="L153">
            <v>-128</v>
          </cell>
          <cell r="M153">
            <v>-135</v>
          </cell>
          <cell r="N153">
            <v>-6</v>
          </cell>
        </row>
        <row r="157">
          <cell r="C157">
            <v>313</v>
          </cell>
          <cell r="D157">
            <v>186</v>
          </cell>
          <cell r="E157">
            <v>174</v>
          </cell>
          <cell r="F157">
            <v>807</v>
          </cell>
          <cell r="G157">
            <v>179</v>
          </cell>
          <cell r="H157">
            <v>256</v>
          </cell>
          <cell r="I157">
            <v>188</v>
          </cell>
          <cell r="J157">
            <v>149</v>
          </cell>
          <cell r="K157">
            <v>183</v>
          </cell>
          <cell r="L157">
            <v>187</v>
          </cell>
          <cell r="M157">
            <v>197</v>
          </cell>
          <cell r="N157">
            <v>-8</v>
          </cell>
        </row>
      </sheetData>
      <sheetData sheetId="13">
        <row r="4">
          <cell r="B4">
            <v>37153.5882815972</v>
          </cell>
        </row>
        <row r="5">
          <cell r="B5">
            <v>37153.5882815972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938</v>
          </cell>
          <cell r="E9">
            <v>1057</v>
          </cell>
          <cell r="F9">
            <v>640</v>
          </cell>
          <cell r="G9">
            <v>13700</v>
          </cell>
          <cell r="H9">
            <v>9784</v>
          </cell>
          <cell r="I9">
            <v>6168</v>
          </cell>
          <cell r="J9">
            <v>664</v>
          </cell>
          <cell r="K9">
            <v>332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>
            <v>58990</v>
          </cell>
          <cell r="E10">
            <v>56794</v>
          </cell>
          <cell r="F10">
            <v>56760</v>
          </cell>
          <cell r="G10">
            <v>25253</v>
          </cell>
          <cell r="H10">
            <v>23451</v>
          </cell>
          <cell r="I10">
            <v>27237</v>
          </cell>
          <cell r="J10">
            <v>25968</v>
          </cell>
          <cell r="K10">
            <v>26056</v>
          </cell>
          <cell r="L10">
            <v>24700</v>
          </cell>
          <cell r="M10">
            <v>24081</v>
          </cell>
          <cell r="N10">
            <v>52968</v>
          </cell>
          <cell r="O10">
            <v>54016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240</v>
          </cell>
          <cell r="E12">
            <v>604</v>
          </cell>
          <cell r="F12">
            <v>656</v>
          </cell>
          <cell r="G12">
            <v>383</v>
          </cell>
          <cell r="H12">
            <v>658</v>
          </cell>
          <cell r="I12">
            <v>174</v>
          </cell>
          <cell r="J12">
            <v>177</v>
          </cell>
          <cell r="K12">
            <v>392</v>
          </cell>
          <cell r="L12">
            <v>331</v>
          </cell>
          <cell r="M12">
            <v>331</v>
          </cell>
          <cell r="N12">
            <v>431</v>
          </cell>
          <cell r="O12">
            <v>581</v>
          </cell>
        </row>
        <row r="13">
          <cell r="D13">
            <v>1743</v>
          </cell>
          <cell r="E13">
            <v>1652</v>
          </cell>
          <cell r="F13">
            <v>791</v>
          </cell>
          <cell r="G13">
            <v>1066</v>
          </cell>
          <cell r="H13">
            <v>-334</v>
          </cell>
          <cell r="I13">
            <v>407</v>
          </cell>
          <cell r="J13">
            <v>-194</v>
          </cell>
          <cell r="K13">
            <v>264</v>
          </cell>
          <cell r="L13">
            <v>281</v>
          </cell>
          <cell r="M13">
            <v>281</v>
          </cell>
          <cell r="N13">
            <v>281</v>
          </cell>
          <cell r="O13">
            <v>1012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-1</v>
          </cell>
          <cell r="G16">
            <v>-1</v>
          </cell>
          <cell r="H16">
            <v>0</v>
          </cell>
          <cell r="I16">
            <v>-1</v>
          </cell>
          <cell r="J16">
            <v>0</v>
          </cell>
          <cell r="K16">
            <v>-1</v>
          </cell>
          <cell r="L16">
            <v>0</v>
          </cell>
          <cell r="M16">
            <v>-1</v>
          </cell>
          <cell r="N16">
            <v>0</v>
          </cell>
          <cell r="O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-71</v>
          </cell>
          <cell r="E18">
            <v>-72</v>
          </cell>
          <cell r="F18">
            <v>-73</v>
          </cell>
          <cell r="G18">
            <v>-73</v>
          </cell>
          <cell r="H18">
            <v>-71</v>
          </cell>
          <cell r="I18">
            <v>-70</v>
          </cell>
          <cell r="J18">
            <v>-71</v>
          </cell>
          <cell r="K18">
            <v>-64</v>
          </cell>
          <cell r="L18">
            <v>-62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1144</v>
          </cell>
          <cell r="E21">
            <v>1078</v>
          </cell>
          <cell r="F21">
            <v>204</v>
          </cell>
          <cell r="G21">
            <v>506</v>
          </cell>
          <cell r="H21">
            <v>-893</v>
          </cell>
          <cell r="I21">
            <v>-151</v>
          </cell>
          <cell r="J21">
            <v>-753</v>
          </cell>
          <cell r="K21">
            <v>-284</v>
          </cell>
          <cell r="L21">
            <v>-290</v>
          </cell>
          <cell r="M21">
            <v>-277</v>
          </cell>
          <cell r="N21">
            <v>-278</v>
          </cell>
          <cell r="O21">
            <v>454</v>
          </cell>
        </row>
        <row r="22">
          <cell r="D22">
            <v>-721</v>
          </cell>
          <cell r="E22">
            <v>-520</v>
          </cell>
          <cell r="F22">
            <v>-525</v>
          </cell>
          <cell r="G22">
            <v>-39</v>
          </cell>
          <cell r="H22">
            <v>2874</v>
          </cell>
          <cell r="I22">
            <v>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-589</v>
          </cell>
          <cell r="O22">
            <v>-589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-567</v>
          </cell>
          <cell r="E27">
            <v>60</v>
          </cell>
          <cell r="F27">
            <v>60</v>
          </cell>
          <cell r="G27">
            <v>60</v>
          </cell>
          <cell r="H27">
            <v>60</v>
          </cell>
          <cell r="I27">
            <v>60</v>
          </cell>
          <cell r="J27">
            <v>59</v>
          </cell>
          <cell r="K27">
            <v>-343</v>
          </cell>
          <cell r="L27">
            <v>60</v>
          </cell>
          <cell r="M27">
            <v>60</v>
          </cell>
          <cell r="N27">
            <v>60</v>
          </cell>
          <cell r="O27">
            <v>60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-86</v>
          </cell>
          <cell r="E29">
            <v>-85</v>
          </cell>
          <cell r="F29">
            <v>-86</v>
          </cell>
          <cell r="G29">
            <v>-86</v>
          </cell>
          <cell r="H29">
            <v>-86</v>
          </cell>
          <cell r="I29">
            <v>-85</v>
          </cell>
          <cell r="J29">
            <v>-86</v>
          </cell>
          <cell r="K29">
            <v>-85</v>
          </cell>
          <cell r="L29">
            <v>-86</v>
          </cell>
          <cell r="M29">
            <v>-85</v>
          </cell>
          <cell r="N29">
            <v>-86</v>
          </cell>
          <cell r="O29">
            <v>-86</v>
          </cell>
        </row>
        <row r="30">
          <cell r="D30">
            <v>-127</v>
          </cell>
          <cell r="E30">
            <v>-126</v>
          </cell>
          <cell r="F30">
            <v>-127</v>
          </cell>
          <cell r="G30">
            <v>-126</v>
          </cell>
          <cell r="H30">
            <v>-127</v>
          </cell>
          <cell r="I30">
            <v>-126</v>
          </cell>
          <cell r="J30">
            <v>-127</v>
          </cell>
          <cell r="K30">
            <v>-126</v>
          </cell>
          <cell r="L30">
            <v>-127</v>
          </cell>
          <cell r="M30">
            <v>-126</v>
          </cell>
          <cell r="N30">
            <v>-127</v>
          </cell>
          <cell r="O30">
            <v>-127</v>
          </cell>
        </row>
        <row r="31">
          <cell r="D31">
            <v>-28</v>
          </cell>
          <cell r="E31">
            <v>-28</v>
          </cell>
          <cell r="F31">
            <v>-28</v>
          </cell>
          <cell r="G31">
            <v>-28</v>
          </cell>
          <cell r="H31">
            <v>-28</v>
          </cell>
          <cell r="I31">
            <v>-28</v>
          </cell>
          <cell r="J31">
            <v>-28</v>
          </cell>
          <cell r="K31">
            <v>-27</v>
          </cell>
          <cell r="L31">
            <v>-28</v>
          </cell>
          <cell r="M31">
            <v>-28</v>
          </cell>
          <cell r="N31">
            <v>-28</v>
          </cell>
          <cell r="O31">
            <v>-28</v>
          </cell>
        </row>
        <row r="32">
          <cell r="D32">
            <v>-143</v>
          </cell>
          <cell r="E32">
            <v>-143</v>
          </cell>
          <cell r="F32">
            <v>-144</v>
          </cell>
          <cell r="G32">
            <v>-143</v>
          </cell>
          <cell r="H32">
            <v>-143</v>
          </cell>
          <cell r="I32">
            <v>-144</v>
          </cell>
          <cell r="J32">
            <v>-143</v>
          </cell>
          <cell r="K32">
            <v>-144</v>
          </cell>
          <cell r="L32">
            <v>-143</v>
          </cell>
          <cell r="M32">
            <v>-144</v>
          </cell>
          <cell r="N32">
            <v>349</v>
          </cell>
          <cell r="O32">
            <v>350</v>
          </cell>
        </row>
        <row r="33">
          <cell r="D33">
            <v>243</v>
          </cell>
          <cell r="E33">
            <v>243</v>
          </cell>
          <cell r="F33">
            <v>1700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228</v>
          </cell>
          <cell r="N33">
            <v>228</v>
          </cell>
          <cell r="O33">
            <v>228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-3</v>
          </cell>
          <cell r="E35">
            <v>1</v>
          </cell>
          <cell r="F35">
            <v>-2</v>
          </cell>
          <cell r="G35">
            <v>4</v>
          </cell>
          <cell r="H35">
            <v>19</v>
          </cell>
          <cell r="I35">
            <v>108</v>
          </cell>
          <cell r="J35">
            <v>42</v>
          </cell>
          <cell r="K35">
            <v>45</v>
          </cell>
          <cell r="L35">
            <v>16</v>
          </cell>
          <cell r="M35">
            <v>19</v>
          </cell>
          <cell r="N35">
            <v>3</v>
          </cell>
          <cell r="O35">
            <v>9</v>
          </cell>
        </row>
        <row r="37">
          <cell r="D37">
            <v>2731</v>
          </cell>
          <cell r="E37">
            <v>2675</v>
          </cell>
          <cell r="F37">
            <v>2871</v>
          </cell>
          <cell r="G37">
            <v>2720</v>
          </cell>
          <cell r="H37">
            <v>2665</v>
          </cell>
          <cell r="I37">
            <v>2909</v>
          </cell>
          <cell r="J37">
            <v>2761</v>
          </cell>
          <cell r="K37">
            <v>2765</v>
          </cell>
          <cell r="L37">
            <v>2775</v>
          </cell>
          <cell r="M37">
            <v>4076</v>
          </cell>
          <cell r="N37">
            <v>3317</v>
          </cell>
          <cell r="O37">
            <v>3368</v>
          </cell>
        </row>
        <row r="38">
          <cell r="D38">
            <v>-1110</v>
          </cell>
          <cell r="E38">
            <v>-1178</v>
          </cell>
          <cell r="F38">
            <v>-1029</v>
          </cell>
          <cell r="G38">
            <v>-1091</v>
          </cell>
          <cell r="H38">
            <v>-1090</v>
          </cell>
          <cell r="I38">
            <v>-1090</v>
          </cell>
          <cell r="J38">
            <v>-1090</v>
          </cell>
          <cell r="K38">
            <v>-1090</v>
          </cell>
          <cell r="L38">
            <v>-1125</v>
          </cell>
          <cell r="M38">
            <v>-1124</v>
          </cell>
          <cell r="N38">
            <v>-633</v>
          </cell>
          <cell r="O38">
            <v>-632</v>
          </cell>
        </row>
        <row r="40">
          <cell r="D40">
            <v>-544</v>
          </cell>
          <cell r="E40">
            <v>-852</v>
          </cell>
          <cell r="F40">
            <v>-415</v>
          </cell>
          <cell r="G40">
            <v>-397</v>
          </cell>
          <cell r="H40">
            <v>-406</v>
          </cell>
          <cell r="I40">
            <v>-409</v>
          </cell>
          <cell r="J40">
            <v>-385</v>
          </cell>
          <cell r="K40">
            <v>-377</v>
          </cell>
          <cell r="L40">
            <v>-346</v>
          </cell>
          <cell r="M40">
            <v>-341</v>
          </cell>
          <cell r="N40">
            <v>-341</v>
          </cell>
          <cell r="O40">
            <v>-453</v>
          </cell>
        </row>
        <row r="41">
          <cell r="D41">
            <v>2907</v>
          </cell>
          <cell r="E41">
            <v>3202</v>
          </cell>
          <cell r="F41">
            <v>2707</v>
          </cell>
          <cell r="G41">
            <v>2710</v>
          </cell>
          <cell r="H41">
            <v>2704</v>
          </cell>
          <cell r="I41">
            <v>2721</v>
          </cell>
          <cell r="J41">
            <v>2674</v>
          </cell>
          <cell r="K41">
            <v>2686</v>
          </cell>
          <cell r="L41">
            <v>2645</v>
          </cell>
          <cell r="M41">
            <v>2640</v>
          </cell>
          <cell r="N41">
            <v>2640</v>
          </cell>
          <cell r="O41">
            <v>2752</v>
          </cell>
        </row>
        <row r="42">
          <cell r="D42">
            <v>1926</v>
          </cell>
          <cell r="E42">
            <v>2137</v>
          </cell>
          <cell r="F42">
            <v>1570</v>
          </cell>
          <cell r="G42">
            <v>1074</v>
          </cell>
          <cell r="H42">
            <v>828</v>
          </cell>
          <cell r="I42">
            <v>-555</v>
          </cell>
          <cell r="J42">
            <v>3559</v>
          </cell>
          <cell r="K42">
            <v>72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525</v>
          </cell>
          <cell r="E43">
            <v>329</v>
          </cell>
          <cell r="F43">
            <v>313</v>
          </cell>
          <cell r="G43">
            <v>1284</v>
          </cell>
          <cell r="H43">
            <v>318</v>
          </cell>
          <cell r="I43">
            <v>436</v>
          </cell>
          <cell r="J43">
            <v>335</v>
          </cell>
          <cell r="K43">
            <v>270</v>
          </cell>
          <cell r="L43">
            <v>324</v>
          </cell>
          <cell r="M43">
            <v>325</v>
          </cell>
          <cell r="N43">
            <v>342</v>
          </cell>
          <cell r="O43">
            <v>16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7">
          <cell r="D47">
            <v>-39</v>
          </cell>
          <cell r="E47">
            <v>-38</v>
          </cell>
          <cell r="F47">
            <v>-39</v>
          </cell>
          <cell r="G47">
            <v>-38</v>
          </cell>
          <cell r="H47">
            <v>-39</v>
          </cell>
          <cell r="I47">
            <v>-38</v>
          </cell>
          <cell r="J47">
            <v>-39</v>
          </cell>
          <cell r="K47">
            <v>-38</v>
          </cell>
          <cell r="L47">
            <v>-39</v>
          </cell>
          <cell r="M47">
            <v>-38</v>
          </cell>
          <cell r="N47">
            <v>-39</v>
          </cell>
          <cell r="O47">
            <v>-39</v>
          </cell>
        </row>
        <row r="48">
          <cell r="D48">
            <v>1</v>
          </cell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1</v>
          </cell>
          <cell r="J48">
            <v>0</v>
          </cell>
          <cell r="K48">
            <v>1</v>
          </cell>
          <cell r="L48">
            <v>0</v>
          </cell>
          <cell r="M48">
            <v>1</v>
          </cell>
          <cell r="N48">
            <v>0</v>
          </cell>
          <cell r="O48">
            <v>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-2737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3000</v>
          </cell>
          <cell r="F50">
            <v>-27</v>
          </cell>
          <cell r="G50">
            <v>24</v>
          </cell>
          <cell r="H50">
            <v>22</v>
          </cell>
          <cell r="I50">
            <v>23</v>
          </cell>
          <cell r="J50">
            <v>23</v>
          </cell>
          <cell r="K50">
            <v>20</v>
          </cell>
          <cell r="L50">
            <v>20</v>
          </cell>
          <cell r="M50">
            <v>20</v>
          </cell>
          <cell r="N50">
            <v>20</v>
          </cell>
          <cell r="O50">
            <v>21</v>
          </cell>
        </row>
        <row r="51">
          <cell r="D51">
            <v>-9422</v>
          </cell>
          <cell r="E51">
            <v>-11999</v>
          </cell>
          <cell r="F51">
            <v>-12591</v>
          </cell>
          <cell r="G51">
            <v>21503</v>
          </cell>
          <cell r="H51">
            <v>1023</v>
          </cell>
          <cell r="I51">
            <v>-5003</v>
          </cell>
          <cell r="J51">
            <v>131</v>
          </cell>
          <cell r="K51">
            <v>1827</v>
          </cell>
          <cell r="L51">
            <v>1869</v>
          </cell>
          <cell r="M51">
            <v>-10912</v>
          </cell>
          <cell r="N51">
            <v>-11850</v>
          </cell>
          <cell r="O51">
            <v>-10262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3262</v>
          </cell>
          <cell r="E53">
            <v>150</v>
          </cell>
          <cell r="F53">
            <v>-1147</v>
          </cell>
          <cell r="G53">
            <v>23341</v>
          </cell>
          <cell r="H53">
            <v>1575</v>
          </cell>
          <cell r="I53">
            <v>-2983</v>
          </cell>
          <cell r="J53">
            <v>860</v>
          </cell>
          <cell r="K53">
            <v>3339</v>
          </cell>
          <cell r="L53">
            <v>2207</v>
          </cell>
          <cell r="M53">
            <v>-11814</v>
          </cell>
          <cell r="N53">
            <v>-1321</v>
          </cell>
          <cell r="O53">
            <v>659</v>
          </cell>
        </row>
        <row r="55">
          <cell r="D55">
            <v>12782</v>
          </cell>
          <cell r="E55">
            <v>12247</v>
          </cell>
          <cell r="F55">
            <v>11540</v>
          </cell>
          <cell r="G55">
            <v>1935</v>
          </cell>
          <cell r="H55">
            <v>649</v>
          </cell>
          <cell r="I55">
            <v>2005</v>
          </cell>
          <cell r="J55">
            <v>938</v>
          </cell>
          <cell r="K55">
            <v>1611</v>
          </cell>
          <cell r="L55">
            <v>435</v>
          </cell>
          <cell r="M55">
            <v>-761</v>
          </cell>
          <cell r="N55">
            <v>10677</v>
          </cell>
          <cell r="O55">
            <v>10940</v>
          </cell>
        </row>
        <row r="56">
          <cell r="D56">
            <v>19634</v>
          </cell>
          <cell r="E56">
            <v>18785</v>
          </cell>
          <cell r="F56">
            <v>17695</v>
          </cell>
          <cell r="G56">
            <v>3079</v>
          </cell>
          <cell r="H56">
            <v>992</v>
          </cell>
          <cell r="I56">
            <v>2966</v>
          </cell>
          <cell r="J56">
            <v>1548</v>
          </cell>
          <cell r="K56">
            <v>2474</v>
          </cell>
          <cell r="L56">
            <v>646</v>
          </cell>
          <cell r="M56">
            <v>-1185</v>
          </cell>
          <cell r="N56">
            <v>16351</v>
          </cell>
          <cell r="O56">
            <v>16756</v>
          </cell>
        </row>
        <row r="57">
          <cell r="D57">
            <v>2</v>
          </cell>
          <cell r="E57">
            <v>3</v>
          </cell>
          <cell r="F57">
            <v>2</v>
          </cell>
          <cell r="G57">
            <v>3</v>
          </cell>
          <cell r="H57">
            <v>2</v>
          </cell>
          <cell r="I57">
            <v>3</v>
          </cell>
          <cell r="J57">
            <v>2</v>
          </cell>
          <cell r="K57">
            <v>3</v>
          </cell>
          <cell r="L57">
            <v>2</v>
          </cell>
          <cell r="M57">
            <v>3</v>
          </cell>
          <cell r="N57">
            <v>2</v>
          </cell>
          <cell r="O57">
            <v>3</v>
          </cell>
        </row>
        <row r="58">
          <cell r="D58">
            <v>-103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346</v>
          </cell>
          <cell r="N58">
            <v>0</v>
          </cell>
          <cell r="O58">
            <v>0</v>
          </cell>
        </row>
        <row r="59">
          <cell r="D59">
            <v>-31</v>
          </cell>
          <cell r="E59">
            <v>-31</v>
          </cell>
          <cell r="F59">
            <v>-32</v>
          </cell>
          <cell r="G59">
            <v>-31</v>
          </cell>
          <cell r="H59">
            <v>-31</v>
          </cell>
          <cell r="I59">
            <v>-32</v>
          </cell>
          <cell r="J59">
            <v>-31</v>
          </cell>
          <cell r="K59">
            <v>-31</v>
          </cell>
          <cell r="L59">
            <v>-32</v>
          </cell>
          <cell r="M59">
            <v>-31</v>
          </cell>
          <cell r="N59">
            <v>-32</v>
          </cell>
          <cell r="O59">
            <v>-32</v>
          </cell>
        </row>
        <row r="60">
          <cell r="D60">
            <v>-218</v>
          </cell>
          <cell r="E60">
            <v>-218</v>
          </cell>
          <cell r="F60">
            <v>-218</v>
          </cell>
          <cell r="G60">
            <v>-217</v>
          </cell>
          <cell r="H60">
            <v>-218</v>
          </cell>
          <cell r="I60">
            <v>-218</v>
          </cell>
          <cell r="J60">
            <v>-218</v>
          </cell>
          <cell r="K60">
            <v>-217</v>
          </cell>
          <cell r="L60">
            <v>-218</v>
          </cell>
          <cell r="M60">
            <v>-218</v>
          </cell>
          <cell r="N60">
            <v>-219</v>
          </cell>
          <cell r="O60">
            <v>-219</v>
          </cell>
        </row>
        <row r="61">
          <cell r="D61">
            <v>-23</v>
          </cell>
          <cell r="E61">
            <v>23</v>
          </cell>
          <cell r="F61">
            <v>-25</v>
          </cell>
          <cell r="G61">
            <v>-72</v>
          </cell>
          <cell r="H61">
            <v>-28</v>
          </cell>
          <cell r="I61">
            <v>-27</v>
          </cell>
          <cell r="J61">
            <v>-27</v>
          </cell>
          <cell r="K61">
            <v>-27</v>
          </cell>
          <cell r="L61">
            <v>-27</v>
          </cell>
          <cell r="M61">
            <v>-27</v>
          </cell>
          <cell r="N61">
            <v>-27</v>
          </cell>
          <cell r="O61">
            <v>-27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-2</v>
          </cell>
          <cell r="E64">
            <v>-3</v>
          </cell>
          <cell r="F64">
            <v>-3</v>
          </cell>
          <cell r="G64">
            <v>-2</v>
          </cell>
          <cell r="H64">
            <v>-3</v>
          </cell>
          <cell r="I64">
            <v>-2</v>
          </cell>
          <cell r="J64">
            <v>-3</v>
          </cell>
          <cell r="K64">
            <v>-2</v>
          </cell>
          <cell r="L64">
            <v>-2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9</v>
          </cell>
          <cell r="E65">
            <v>14</v>
          </cell>
          <cell r="F65">
            <v>19</v>
          </cell>
          <cell r="G65">
            <v>23</v>
          </cell>
          <cell r="H65">
            <v>20</v>
          </cell>
          <cell r="I65">
            <v>1</v>
          </cell>
          <cell r="J65">
            <v>1</v>
          </cell>
          <cell r="K65">
            <v>0</v>
          </cell>
          <cell r="L65">
            <v>1</v>
          </cell>
          <cell r="M65">
            <v>1</v>
          </cell>
          <cell r="N65">
            <v>1</v>
          </cell>
          <cell r="O65">
            <v>5</v>
          </cell>
        </row>
        <row r="66">
          <cell r="D66">
            <v>-20</v>
          </cell>
          <cell r="E66">
            <v>-20</v>
          </cell>
          <cell r="F66">
            <v>-21</v>
          </cell>
          <cell r="G66">
            <v>-20</v>
          </cell>
          <cell r="H66">
            <v>-20</v>
          </cell>
          <cell r="I66">
            <v>-20</v>
          </cell>
          <cell r="J66">
            <v>-20</v>
          </cell>
          <cell r="K66">
            <v>-17</v>
          </cell>
          <cell r="L66">
            <v>-17</v>
          </cell>
          <cell r="M66">
            <v>-11</v>
          </cell>
          <cell r="N66">
            <v>-11</v>
          </cell>
          <cell r="O66">
            <v>-12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9675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985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0.7"/>
    <col collapsed="false" customWidth="true" hidden="false" outlineLevel="0" max="2" min="2" style="1" width="3.7"/>
    <col collapsed="false" customWidth="false" hidden="false" outlineLevel="0" max="17" min="3" style="1" width="10.71"/>
    <col collapsed="false" customWidth="true" hidden="false" outlineLevel="0" max="18" min="18" style="1" width="11.7"/>
    <col collapsed="false" customWidth="true" hidden="false" outlineLevel="0" max="19" min="19" style="1" width="4.7"/>
    <col collapsed="false" customWidth="false" hidden="false" outlineLevel="0" max="257" min="20" style="1" width="10.71"/>
  </cols>
  <sheetData>
    <row r="1" customFormat="false" ht="12.75" hidden="false" customHeight="false" outlineLevel="0" collapsed="false">
      <c r="A1" s="2" t="str">
        <f aca="true">CELL("FILENAME")</f>
        <v>'file:///mnt/12tb/@roms/datasets/enron/EDRM Enron Email Data Set v2 XML/filtered-attachments/xls/NNG3rdCECF.xls'#$BACKUP</v>
      </c>
      <c r="B1" s="3"/>
      <c r="C1" s="3"/>
      <c r="D1" s="3"/>
      <c r="E1" s="3"/>
      <c r="F1" s="4" t="s">
        <v>0</v>
      </c>
      <c r="G1" s="4"/>
      <c r="H1" s="4"/>
      <c r="I1" s="4"/>
      <c r="J1" s="4"/>
      <c r="K1" s="3"/>
      <c r="L1" s="3"/>
      <c r="M1" s="3"/>
      <c r="N1" s="3"/>
      <c r="O1" s="3"/>
      <c r="P1" s="3"/>
      <c r="Q1" s="3"/>
      <c r="R1" s="5" t="n">
        <f aca="true">NOW()</f>
        <v>45926.9494832566</v>
      </c>
    </row>
    <row r="2" customFormat="false" ht="12.75" hidden="false" customHeight="false" outlineLevel="0" collapsed="false">
      <c r="A2" s="6"/>
      <c r="B2" s="3"/>
      <c r="C2" s="3"/>
      <c r="D2" s="3"/>
      <c r="E2" s="3"/>
      <c r="F2" s="4" t="s">
        <v>1</v>
      </c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7" t="n">
        <f aca="true">NOW()</f>
        <v>45926.9494832568</v>
      </c>
    </row>
    <row r="3" customFormat="false" ht="12.75" hidden="false" customHeight="false" outlineLevel="0" collapsed="false">
      <c r="A3" s="8" t="n">
        <f aca="false">[1]Source!$B$4</f>
        <v>37153.5882815972</v>
      </c>
      <c r="B3" s="3"/>
      <c r="C3" s="3"/>
      <c r="D3" s="3"/>
      <c r="E3" s="3"/>
      <c r="F3" s="9" t="s">
        <v>2</v>
      </c>
      <c r="G3" s="9"/>
      <c r="H3" s="9"/>
      <c r="I3" s="9"/>
      <c r="J3" s="9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10" t="n">
        <f aca="false">[1]Source!$B$5</f>
        <v>37153.5882815972</v>
      </c>
      <c r="B4" s="3"/>
      <c r="C4" s="11"/>
      <c r="D4" s="3"/>
      <c r="E4" s="3"/>
      <c r="F4" s="4" t="s">
        <v>3</v>
      </c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</row>
    <row r="5" customFormat="false" ht="12.75" hidden="false" customHeight="false" outlineLevel="0" collapsed="false">
      <c r="A5" s="3"/>
      <c r="B5" s="3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2.75" hidden="false" customHeight="false" outlineLevel="0" collapsed="false">
      <c r="A6" s="3"/>
      <c r="B6" s="3"/>
      <c r="C6" s="13" t="s">
        <v>4</v>
      </c>
      <c r="D6" s="12"/>
      <c r="E6" s="14"/>
      <c r="F6" s="14"/>
      <c r="G6" s="0"/>
      <c r="H6" s="0"/>
      <c r="I6" s="14"/>
      <c r="J6" s="15"/>
      <c r="K6" s="16" t="s">
        <v>5</v>
      </c>
      <c r="L6" s="17"/>
      <c r="M6" s="17"/>
      <c r="N6" s="17"/>
      <c r="O6" s="17"/>
      <c r="P6" s="3"/>
      <c r="Q6" s="3"/>
      <c r="R6" s="3"/>
    </row>
    <row r="7" customFormat="false" ht="12.75" hidden="false" customHeight="false" outlineLevel="0" collapsed="false">
      <c r="A7" s="3"/>
      <c r="B7" s="3"/>
      <c r="C7" s="16" t="s">
        <v>6</v>
      </c>
      <c r="D7" s="13" t="s">
        <v>7</v>
      </c>
      <c r="E7" s="13" t="s">
        <v>7</v>
      </c>
      <c r="F7" s="13" t="s">
        <v>7</v>
      </c>
      <c r="G7" s="13" t="s">
        <v>7</v>
      </c>
      <c r="H7" s="13" t="s">
        <v>7</v>
      </c>
      <c r="I7" s="13" t="s">
        <v>7</v>
      </c>
      <c r="J7" s="13" t="s">
        <v>7</v>
      </c>
      <c r="K7" s="13" t="s">
        <v>7</v>
      </c>
      <c r="L7" s="13" t="s">
        <v>8</v>
      </c>
      <c r="M7" s="13" t="s">
        <v>8</v>
      </c>
      <c r="N7" s="13" t="s">
        <v>8</v>
      </c>
      <c r="O7" s="13" t="s">
        <v>8</v>
      </c>
      <c r="P7" s="16" t="s">
        <v>9</v>
      </c>
      <c r="Q7" s="12" t="s">
        <v>10</v>
      </c>
      <c r="R7" s="16" t="s">
        <v>11</v>
      </c>
    </row>
    <row r="8" customFormat="false" ht="12.75" hidden="false" customHeight="false" outlineLevel="0" collapsed="false">
      <c r="A8" s="3"/>
      <c r="B8" s="3"/>
      <c r="C8" s="18" t="s">
        <v>12</v>
      </c>
      <c r="D8" s="19" t="s">
        <v>13</v>
      </c>
      <c r="E8" s="19" t="s">
        <v>14</v>
      </c>
      <c r="F8" s="19" t="s">
        <v>15</v>
      </c>
      <c r="G8" s="19" t="s">
        <v>16</v>
      </c>
      <c r="H8" s="19" t="s">
        <v>17</v>
      </c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8" t="n">
        <v>2001</v>
      </c>
      <c r="Q8" s="19" t="s">
        <v>25</v>
      </c>
      <c r="R8" s="19" t="s">
        <v>26</v>
      </c>
    </row>
    <row r="9" customFormat="false" ht="6" hidden="false" customHeight="true" outlineLevel="0" collapsed="false"/>
    <row r="10" customFormat="false" ht="12.75" hidden="false" customHeight="false" outlineLevel="0" collapsed="false">
      <c r="A10" s="20" t="s">
        <v>27</v>
      </c>
      <c r="C10" s="21"/>
      <c r="D10" s="21" t="n">
        <f aca="false">C13</f>
        <v>53</v>
      </c>
      <c r="E10" s="21" t="n">
        <f aca="false">D13</f>
        <v>53</v>
      </c>
      <c r="F10" s="21" t="n">
        <f aca="false">E13</f>
        <v>53</v>
      </c>
      <c r="G10" s="21" t="n">
        <f aca="false">F13</f>
        <v>53</v>
      </c>
      <c r="H10" s="21" t="n">
        <f aca="false">G13</f>
        <v>53</v>
      </c>
      <c r="I10" s="21" t="n">
        <f aca="false">H13</f>
        <v>53</v>
      </c>
      <c r="J10" s="21" t="n">
        <f aca="false">I13</f>
        <v>53</v>
      </c>
      <c r="K10" s="21" t="n">
        <f aca="false">J13</f>
        <v>53</v>
      </c>
      <c r="L10" s="21" t="n">
        <f aca="false">K13</f>
        <v>53</v>
      </c>
      <c r="M10" s="21" t="n">
        <f aca="false">L13</f>
        <v>53</v>
      </c>
      <c r="N10" s="21" t="n">
        <f aca="false">M13</f>
        <v>53</v>
      </c>
      <c r="O10" s="21" t="n">
        <f aca="false">N13</f>
        <v>53</v>
      </c>
      <c r="P10" s="21"/>
      <c r="Q10" s="21"/>
      <c r="R10" s="21"/>
    </row>
    <row r="11" customFormat="false" ht="12.75" hidden="false" customHeight="false" outlineLevel="0" collapsed="false">
      <c r="A11" s="22" t="s">
        <v>28</v>
      </c>
      <c r="C11" s="23" t="n">
        <v>0</v>
      </c>
      <c r="D11" s="23" t="n">
        <v>0</v>
      </c>
      <c r="E11" s="23" t="n">
        <v>0</v>
      </c>
      <c r="F11" s="23" t="n">
        <v>0</v>
      </c>
      <c r="G11" s="23" t="n">
        <v>0</v>
      </c>
      <c r="H11" s="23" t="n">
        <v>0</v>
      </c>
      <c r="I11" s="23" t="n">
        <v>0</v>
      </c>
      <c r="J11" s="23" t="n">
        <v>0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24" t="n">
        <f aca="false">SUM(D11:O11)</f>
        <v>0</v>
      </c>
      <c r="Q11" s="23" t="n">
        <f aca="false">SUM(D11:J11)</f>
        <v>0</v>
      </c>
      <c r="R11" s="24" t="n">
        <f aca="false">P11-Q11</f>
        <v>0</v>
      </c>
    </row>
    <row r="12" customFormat="false" ht="3.95" hidden="false" customHeight="tru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customFormat="false" ht="12.75" hidden="false" customHeight="false" outlineLevel="0" collapsed="false">
      <c r="A13" s="20" t="s">
        <v>29</v>
      </c>
      <c r="C13" s="25" t="n">
        <v>53</v>
      </c>
      <c r="D13" s="21" t="n">
        <f aca="false">D10+D11</f>
        <v>53</v>
      </c>
      <c r="E13" s="21" t="n">
        <f aca="false">E10+E11</f>
        <v>53</v>
      </c>
      <c r="F13" s="21" t="n">
        <f aca="false">F10+F11</f>
        <v>53</v>
      </c>
      <c r="G13" s="21" t="n">
        <f aca="false">G10+G11</f>
        <v>53</v>
      </c>
      <c r="H13" s="21" t="n">
        <f aca="false">H10+H11</f>
        <v>53</v>
      </c>
      <c r="I13" s="21" t="n">
        <f aca="false">I10+I11</f>
        <v>53</v>
      </c>
      <c r="J13" s="21" t="n">
        <f aca="false">J10+J11</f>
        <v>53</v>
      </c>
      <c r="K13" s="21" t="n">
        <f aca="false">K10+K11</f>
        <v>53</v>
      </c>
      <c r="L13" s="21" t="n">
        <f aca="false">L10+L11</f>
        <v>53</v>
      </c>
      <c r="M13" s="21" t="n">
        <f aca="false">M10+M11</f>
        <v>53</v>
      </c>
      <c r="N13" s="21" t="n">
        <f aca="false">N10+N11</f>
        <v>53</v>
      </c>
      <c r="O13" s="21" t="n">
        <f aca="false">O10+O11</f>
        <v>53</v>
      </c>
      <c r="P13" s="21"/>
      <c r="Q13" s="21"/>
      <c r="R13" s="21"/>
    </row>
    <row r="14" customFormat="false" ht="3.95" hidden="false" customHeight="true" outlineLevel="0" collapsed="false"/>
    <row r="15" customFormat="false" ht="12.75" hidden="false" customHeight="false" outlineLevel="0" collapsed="false">
      <c r="A15" s="22" t="s">
        <v>30</v>
      </c>
      <c r="C15" s="21"/>
      <c r="D15" s="21" t="n">
        <f aca="false">D13-C13</f>
        <v>0</v>
      </c>
      <c r="E15" s="21" t="n">
        <f aca="false">E13-D13</f>
        <v>0</v>
      </c>
      <c r="F15" s="21" t="n">
        <f aca="false">F13-E13</f>
        <v>0</v>
      </c>
      <c r="G15" s="21" t="n">
        <f aca="false">G13-F13</f>
        <v>0</v>
      </c>
      <c r="H15" s="21" t="n">
        <f aca="false">H13-G13</f>
        <v>0</v>
      </c>
      <c r="I15" s="21" t="n">
        <f aca="false">I13-H13</f>
        <v>0</v>
      </c>
      <c r="J15" s="21" t="n">
        <f aca="false">J13-I13</f>
        <v>0</v>
      </c>
      <c r="K15" s="21" t="n">
        <f aca="false">K13-J13</f>
        <v>0</v>
      </c>
      <c r="L15" s="21" t="n">
        <f aca="false">L13-K13</f>
        <v>0</v>
      </c>
      <c r="M15" s="21" t="n">
        <f aca="false">M13-L13</f>
        <v>0</v>
      </c>
      <c r="N15" s="21" t="n">
        <f aca="false">N13-M13</f>
        <v>0</v>
      </c>
      <c r="O15" s="21" t="n">
        <f aca="false">O13-N13</f>
        <v>0</v>
      </c>
      <c r="P15" s="21" t="n">
        <f aca="false">SUM(D15:O15)</f>
        <v>0</v>
      </c>
      <c r="Q15" s="21" t="n">
        <f aca="false">Q11</f>
        <v>0</v>
      </c>
      <c r="R15" s="21" t="n">
        <f aca="false">P15-Q15</f>
        <v>0</v>
      </c>
    </row>
    <row r="17" customFormat="false" ht="12.75" hidden="false" customHeight="false" outlineLevel="0" collapsed="false">
      <c r="A17" s="20" t="s">
        <v>31</v>
      </c>
      <c r="C17" s="25" t="n">
        <v>71185</v>
      </c>
      <c r="D17" s="21" t="n">
        <f aca="false">C33</f>
        <v>40542</v>
      </c>
      <c r="E17" s="21" t="n">
        <f aca="false">D33</f>
        <v>44439</v>
      </c>
      <c r="F17" s="21" t="n">
        <f aca="false">E33</f>
        <v>41453</v>
      </c>
      <c r="G17" s="21" t="n">
        <f aca="false">F33</f>
        <v>57404</v>
      </c>
      <c r="H17" s="21" t="n">
        <f aca="false">G33</f>
        <v>40956</v>
      </c>
      <c r="I17" s="21" t="n">
        <f aca="false">H33</f>
        <v>30453</v>
      </c>
      <c r="J17" s="21" t="n">
        <f aca="false">I33</f>
        <v>36741</v>
      </c>
      <c r="K17" s="21" t="n">
        <f aca="false">J33</f>
        <v>29898</v>
      </c>
      <c r="L17" s="21" t="n">
        <f aca="false">K33</f>
        <v>29869</v>
      </c>
      <c r="M17" s="21" t="n">
        <f aca="false">L33</f>
        <v>28120</v>
      </c>
      <c r="N17" s="21" t="n">
        <f aca="false">M33</f>
        <v>27501</v>
      </c>
      <c r="O17" s="21" t="n">
        <f aca="false">N33</f>
        <v>56488</v>
      </c>
      <c r="P17" s="21"/>
    </row>
    <row r="18" customFormat="false" ht="12.75" hidden="false" customHeight="false" outlineLevel="0" collapsed="false">
      <c r="A18" s="22" t="s">
        <v>32</v>
      </c>
      <c r="C18" s="26" t="n">
        <f aca="false">-53768-12000</f>
        <v>-65768</v>
      </c>
      <c r="D18" s="21" t="n">
        <f aca="false">-C27</f>
        <v>-55235</v>
      </c>
      <c r="E18" s="21" t="n">
        <f aca="false">-D27</f>
        <v>-60168</v>
      </c>
      <c r="F18" s="21" t="n">
        <f aca="false">-E27</f>
        <v>-58455</v>
      </c>
      <c r="G18" s="21" t="n">
        <f aca="false">-F27</f>
        <v>-58056</v>
      </c>
      <c r="H18" s="21" t="n">
        <f aca="false">-G27</f>
        <v>-39336</v>
      </c>
      <c r="I18" s="21" t="n">
        <f aca="false">-H27</f>
        <v>-33893</v>
      </c>
      <c r="J18" s="21" t="n">
        <f aca="false">-I27</f>
        <v>-33579</v>
      </c>
      <c r="K18" s="21" t="n">
        <f aca="false">-J27</f>
        <v>-26809</v>
      </c>
      <c r="L18" s="21" t="n">
        <f aca="false">-K27</f>
        <v>-26780</v>
      </c>
      <c r="M18" s="21" t="n">
        <f aca="false">-L27</f>
        <v>-25031</v>
      </c>
      <c r="N18" s="21" t="n">
        <f aca="false">-M27</f>
        <v>-24412</v>
      </c>
      <c r="O18" s="21" t="n">
        <f aca="false">-N27</f>
        <v>-53399</v>
      </c>
      <c r="P18" s="21" t="n">
        <f aca="false">SUM(D18:O18)</f>
        <v>-495153</v>
      </c>
      <c r="Q18" s="21"/>
      <c r="R18" s="21"/>
    </row>
    <row r="19" customFormat="false" ht="8.1" hidden="false" customHeight="true" outlineLevel="0" collapsed="false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customFormat="false" ht="12.75" hidden="false" customHeight="false" outlineLevel="0" collapsed="false">
      <c r="A20" s="22" t="s">
        <v>33</v>
      </c>
      <c r="B20" s="27" t="s">
        <v>34</v>
      </c>
      <c r="C20" s="25" t="n">
        <v>0</v>
      </c>
      <c r="D20" s="21" t="n">
        <f aca="false">[1]Source!D9</f>
        <v>938</v>
      </c>
      <c r="E20" s="21" t="n">
        <f aca="false">[1]Source!E9</f>
        <v>1057</v>
      </c>
      <c r="F20" s="21" t="n">
        <f aca="false">[1]Source!F9</f>
        <v>640</v>
      </c>
      <c r="G20" s="21" t="n">
        <f aca="false">[1]Source!G9</f>
        <v>13700</v>
      </c>
      <c r="H20" s="21" t="n">
        <f aca="false">[1]Source!H9</f>
        <v>9784</v>
      </c>
      <c r="I20" s="21" t="n">
        <f aca="false">[1]Source!I9</f>
        <v>6168</v>
      </c>
      <c r="J20" s="21" t="n">
        <f aca="false">[1]Source!J9</f>
        <v>664</v>
      </c>
      <c r="K20" s="21" t="n">
        <f aca="false">[1]Source!K9</f>
        <v>332</v>
      </c>
      <c r="L20" s="21" t="n">
        <f aca="false">[1]Source!L9</f>
        <v>0</v>
      </c>
      <c r="M20" s="21" t="n">
        <f aca="false">[1]Source!M9</f>
        <v>0</v>
      </c>
      <c r="N20" s="21" t="n">
        <f aca="false">[1]Source!N9</f>
        <v>0</v>
      </c>
      <c r="O20" s="21" t="n">
        <f aca="false">[1]Source!O9</f>
        <v>0</v>
      </c>
      <c r="P20" s="21" t="n">
        <f aca="false">SUM(D20:O20)</f>
        <v>33283</v>
      </c>
      <c r="Q20" s="25" t="n">
        <f aca="false">SUM(D20:J20)</f>
        <v>32951</v>
      </c>
      <c r="R20" s="21" t="n">
        <f aca="false">P20-Q20</f>
        <v>332</v>
      </c>
    </row>
    <row r="21" customFormat="false" ht="12.75" hidden="false" customHeight="false" outlineLevel="0" collapsed="false">
      <c r="A21" s="22" t="s">
        <v>35</v>
      </c>
      <c r="B21" s="27" t="s">
        <v>34</v>
      </c>
      <c r="C21" s="25" t="n">
        <v>55324</v>
      </c>
      <c r="D21" s="21" t="n">
        <f aca="false">[1]Source!D10</f>
        <v>58990</v>
      </c>
      <c r="E21" s="21" t="n">
        <f aca="false">[1]Source!E10</f>
        <v>56794</v>
      </c>
      <c r="F21" s="21" t="n">
        <f aca="false">[1]Source!F10</f>
        <v>56760</v>
      </c>
      <c r="G21" s="21" t="n">
        <f aca="false">[1]Source!G10</f>
        <v>25253</v>
      </c>
      <c r="H21" s="21" t="n">
        <f aca="false">[1]Source!H10</f>
        <v>23451</v>
      </c>
      <c r="I21" s="21" t="n">
        <f aca="false">[1]Source!I10</f>
        <v>27237</v>
      </c>
      <c r="J21" s="21" t="n">
        <f aca="false">[1]Source!J10</f>
        <v>25968</v>
      </c>
      <c r="K21" s="21" t="n">
        <f aca="false">[1]Source!K10</f>
        <v>26056</v>
      </c>
      <c r="L21" s="21" t="n">
        <f aca="false">[1]Source!L10</f>
        <v>24700</v>
      </c>
      <c r="M21" s="21" t="n">
        <f aca="false">[1]Source!M10</f>
        <v>24081</v>
      </c>
      <c r="N21" s="21" t="n">
        <f aca="false">[1]Source!N10</f>
        <v>52968</v>
      </c>
      <c r="O21" s="21" t="n">
        <f aca="false">[1]Source!O10</f>
        <v>54016</v>
      </c>
      <c r="P21" s="21" t="n">
        <f aca="false">SUM(D21:O21)</f>
        <v>456274</v>
      </c>
      <c r="Q21" s="25" t="n">
        <f aca="false">SUM(D21:J21)</f>
        <v>274453</v>
      </c>
      <c r="R21" s="21" t="n">
        <f aca="false">P21-Q21</f>
        <v>181821</v>
      </c>
    </row>
    <row r="22" customFormat="false" ht="12.75" hidden="false" customHeight="false" outlineLevel="0" collapsed="false">
      <c r="A22" s="22" t="s">
        <v>36</v>
      </c>
      <c r="B22" s="27" t="s">
        <v>34</v>
      </c>
      <c r="C22" s="25" t="n">
        <v>0</v>
      </c>
      <c r="D22" s="21" t="n">
        <f aca="false">[1]Source!D11</f>
        <v>0</v>
      </c>
      <c r="E22" s="21" t="n">
        <f aca="false">[1]Source!E11</f>
        <v>0</v>
      </c>
      <c r="F22" s="21" t="n">
        <f aca="false">[1]Source!F11</f>
        <v>0</v>
      </c>
      <c r="G22" s="21" t="n">
        <f aca="false">[1]Source!G11</f>
        <v>0</v>
      </c>
      <c r="H22" s="21" t="n">
        <f aca="false">[1]Source!H11</f>
        <v>0</v>
      </c>
      <c r="I22" s="21" t="n">
        <f aca="false">[1]Source!I11</f>
        <v>0</v>
      </c>
      <c r="J22" s="21" t="n">
        <f aca="false">[1]Source!J11</f>
        <v>0</v>
      </c>
      <c r="K22" s="21" t="n">
        <f aca="false">[1]Source!K11</f>
        <v>0</v>
      </c>
      <c r="L22" s="21" t="n">
        <f aca="false">[1]Source!L11</f>
        <v>0</v>
      </c>
      <c r="M22" s="21" t="n">
        <f aca="false">[1]Source!M11</f>
        <v>0</v>
      </c>
      <c r="N22" s="21" t="n">
        <f aca="false">[1]Source!N11</f>
        <v>0</v>
      </c>
      <c r="O22" s="21" t="n">
        <f aca="false">[1]Source!O11</f>
        <v>0</v>
      </c>
      <c r="P22" s="21" t="n">
        <f aca="false">SUM(D22:O22)</f>
        <v>0</v>
      </c>
      <c r="Q22" s="25" t="n">
        <f aca="false">SUM(D22:J22)</f>
        <v>0</v>
      </c>
      <c r="R22" s="21" t="n">
        <f aca="false">P22-Q22</f>
        <v>0</v>
      </c>
    </row>
    <row r="23" customFormat="false" ht="12.75" hidden="false" customHeight="false" outlineLevel="0" collapsed="false">
      <c r="A23" s="22" t="s">
        <v>37</v>
      </c>
      <c r="B23" s="27" t="s">
        <v>34</v>
      </c>
      <c r="C23" s="25" t="n">
        <v>-89</v>
      </c>
      <c r="D23" s="21" t="n">
        <f aca="false">[1]Source!D12</f>
        <v>240</v>
      </c>
      <c r="E23" s="21" t="n">
        <f aca="false">[1]Source!E12</f>
        <v>604</v>
      </c>
      <c r="F23" s="21" t="n">
        <f aca="false">[1]Source!F12</f>
        <v>656</v>
      </c>
      <c r="G23" s="21" t="n">
        <f aca="false">[1]Source!G12</f>
        <v>383</v>
      </c>
      <c r="H23" s="21" t="n">
        <f aca="false">[1]Source!H12</f>
        <v>658</v>
      </c>
      <c r="I23" s="21" t="n">
        <f aca="false">[1]Source!I12</f>
        <v>174</v>
      </c>
      <c r="J23" s="21" t="n">
        <f aca="false">[1]Source!J12</f>
        <v>177</v>
      </c>
      <c r="K23" s="21" t="n">
        <f aca="false">[1]Source!K12</f>
        <v>392</v>
      </c>
      <c r="L23" s="21" t="n">
        <f aca="false">[1]Source!L12</f>
        <v>331</v>
      </c>
      <c r="M23" s="21" t="n">
        <f aca="false">[1]Source!M12</f>
        <v>331</v>
      </c>
      <c r="N23" s="21" t="n">
        <f aca="false">[1]Source!N12</f>
        <v>431</v>
      </c>
      <c r="O23" s="21" t="n">
        <f aca="false">[1]Source!O12</f>
        <v>581</v>
      </c>
      <c r="P23" s="21" t="n">
        <f aca="false">SUM(D23:O23)</f>
        <v>4958</v>
      </c>
      <c r="Q23" s="25" t="n">
        <f aca="false">SUM(D23:J23)</f>
        <v>2892</v>
      </c>
      <c r="R23" s="21" t="n">
        <f aca="false">P23-Q23</f>
        <v>2066</v>
      </c>
    </row>
    <row r="24" customFormat="false" ht="12.75" hidden="false" customHeight="false" outlineLevel="0" collapsed="false">
      <c r="A24" s="22" t="s">
        <v>38</v>
      </c>
      <c r="B24" s="27" t="s">
        <v>34</v>
      </c>
      <c r="C24" s="25" t="n">
        <v>0</v>
      </c>
      <c r="D24" s="28" t="n">
        <f aca="false">[1]Source!D8</f>
        <v>0</v>
      </c>
      <c r="E24" s="28" t="n">
        <f aca="false">[1]Source!E8</f>
        <v>0</v>
      </c>
      <c r="F24" s="21" t="n">
        <f aca="false">[1]Source!F8</f>
        <v>0</v>
      </c>
      <c r="G24" s="21" t="n">
        <f aca="false">[1]Source!G8</f>
        <v>0</v>
      </c>
      <c r="H24" s="21" t="n">
        <f aca="false">[1]Source!H8</f>
        <v>0</v>
      </c>
      <c r="I24" s="21" t="n">
        <f aca="false">[1]Source!I8</f>
        <v>0</v>
      </c>
      <c r="J24" s="21" t="n">
        <f aca="false">[1]Source!J8</f>
        <v>0</v>
      </c>
      <c r="K24" s="21" t="n">
        <f aca="false">[1]Source!K8</f>
        <v>0</v>
      </c>
      <c r="L24" s="21" t="n">
        <f aca="false">[1]Source!L8</f>
        <v>0</v>
      </c>
      <c r="M24" s="21" t="n">
        <f aca="false">[1]Source!M8</f>
        <v>0</v>
      </c>
      <c r="N24" s="21" t="n">
        <f aca="false">[1]Source!N8</f>
        <v>0</v>
      </c>
      <c r="O24" s="21" t="n">
        <f aca="false">[1]Source!O8</f>
        <v>0</v>
      </c>
      <c r="P24" s="21" t="n">
        <f aca="false">SUM(D24:O24)</f>
        <v>0</v>
      </c>
      <c r="Q24" s="25" t="n">
        <f aca="false">SUM(D24:J24)</f>
        <v>0</v>
      </c>
      <c r="R24" s="21" t="n">
        <f aca="false">P24-Q24</f>
        <v>0</v>
      </c>
    </row>
    <row r="25" customFormat="false" ht="12.75" hidden="false" customHeight="false" outlineLevel="0" collapsed="false">
      <c r="A25" s="22" t="s">
        <v>28</v>
      </c>
      <c r="C25" s="23" t="n">
        <v>0</v>
      </c>
      <c r="D25" s="23" t="n">
        <v>0</v>
      </c>
      <c r="E25" s="23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3" t="n">
        <v>0</v>
      </c>
      <c r="K25" s="23" t="n">
        <v>0</v>
      </c>
      <c r="L25" s="23" t="n">
        <v>0</v>
      </c>
      <c r="M25" s="23" t="n">
        <v>0</v>
      </c>
      <c r="N25" s="23" t="n">
        <v>0</v>
      </c>
      <c r="O25" s="23" t="n">
        <v>0</v>
      </c>
      <c r="P25" s="24" t="n">
        <f aca="false">SUM(D25:O25)</f>
        <v>0</v>
      </c>
      <c r="Q25" s="23" t="n">
        <f aca="false">SUM(D25:J25)</f>
        <v>0</v>
      </c>
      <c r="R25" s="24" t="n">
        <f aca="false">P25-Q25</f>
        <v>0</v>
      </c>
    </row>
    <row r="26" customFormat="false" ht="3.95" hidden="false" customHeight="true" outlineLevel="0" collapsed="false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customFormat="false" ht="12.75" hidden="false" customHeight="false" outlineLevel="0" collapsed="false">
      <c r="A27" s="22" t="s">
        <v>39</v>
      </c>
      <c r="C27" s="21" t="n">
        <f aca="false">SUM(C20:C26)</f>
        <v>55235</v>
      </c>
      <c r="D27" s="21" t="n">
        <f aca="false">SUM(D20:D26)</f>
        <v>60168</v>
      </c>
      <c r="E27" s="21" t="n">
        <f aca="false">SUM(E20:E26)</f>
        <v>58455</v>
      </c>
      <c r="F27" s="21" t="n">
        <f aca="false">SUM(F20:F26)</f>
        <v>58056</v>
      </c>
      <c r="G27" s="21" t="n">
        <f aca="false">SUM(G20:G26)</f>
        <v>39336</v>
      </c>
      <c r="H27" s="21" t="n">
        <f aca="false">SUM(H20:H26)</f>
        <v>33893</v>
      </c>
      <c r="I27" s="21" t="n">
        <f aca="false">SUM(I20:I26)</f>
        <v>33579</v>
      </c>
      <c r="J27" s="21" t="n">
        <f aca="false">SUM(J20:J26)</f>
        <v>26809</v>
      </c>
      <c r="K27" s="21" t="n">
        <f aca="false">SUM(K20:K26)</f>
        <v>26780</v>
      </c>
      <c r="L27" s="21" t="n">
        <f aca="false">SUM(L20:L26)</f>
        <v>25031</v>
      </c>
      <c r="M27" s="21" t="n">
        <f aca="false">SUM(M20:M26)</f>
        <v>24412</v>
      </c>
      <c r="N27" s="21" t="n">
        <f aca="false">SUM(N20:N26)</f>
        <v>53399</v>
      </c>
      <c r="O27" s="21" t="n">
        <f aca="false">SUM(O20:O26)</f>
        <v>54597</v>
      </c>
      <c r="P27" s="21" t="n">
        <f aca="false">SUM(P20:P26)</f>
        <v>494515</v>
      </c>
      <c r="Q27" s="21" t="n">
        <f aca="false">SUM(Q20:Q26)</f>
        <v>310296</v>
      </c>
      <c r="R27" s="21" t="n">
        <f aca="false">P27-Q27</f>
        <v>184219</v>
      </c>
    </row>
    <row r="28" customFormat="false" ht="6" hidden="false" customHeight="true" outlineLevel="0" collapsed="false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customFormat="false" ht="12.75" hidden="false" customHeight="false" outlineLevel="0" collapsed="false">
      <c r="A29" s="22" t="s">
        <v>40</v>
      </c>
      <c r="C29" s="25" t="n">
        <v>-14594</v>
      </c>
      <c r="D29" s="25" t="n">
        <v>0</v>
      </c>
      <c r="E29" s="25" t="n">
        <v>0</v>
      </c>
      <c r="F29" s="25" t="n">
        <v>14594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1" t="n">
        <f aca="false">SUM(D29:O29)</f>
        <v>14594</v>
      </c>
      <c r="Q29" s="25" t="n">
        <f aca="false">SUM(D29:J29)</f>
        <v>14594</v>
      </c>
      <c r="R29" s="21" t="n">
        <f aca="false">P29-Q29</f>
        <v>0</v>
      </c>
    </row>
    <row r="30" customFormat="false" ht="12.75" hidden="false" customHeight="false" outlineLevel="0" collapsed="false">
      <c r="A30" s="22" t="s">
        <v>41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1" t="n">
        <f aca="false">SUM(D30:O30)</f>
        <v>0</v>
      </c>
      <c r="Q30" s="25" t="n">
        <f aca="false">SUM(D30:J30)</f>
        <v>0</v>
      </c>
      <c r="R30" s="21" t="n">
        <f aca="false">P30-Q30</f>
        <v>0</v>
      </c>
    </row>
    <row r="31" customFormat="false" ht="12.75" hidden="false" customHeight="false" outlineLevel="0" collapsed="false">
      <c r="A31" s="22" t="s">
        <v>41</v>
      </c>
      <c r="C31" s="23" t="n">
        <v>-5516</v>
      </c>
      <c r="D31" s="23" t="n">
        <v>-1036</v>
      </c>
      <c r="E31" s="23" t="n">
        <v>-1273</v>
      </c>
      <c r="F31" s="23" t="n">
        <v>1756</v>
      </c>
      <c r="G31" s="23" t="n">
        <v>2272</v>
      </c>
      <c r="H31" s="23" t="n">
        <v>-5060</v>
      </c>
      <c r="I31" s="23" t="n">
        <v>6602</v>
      </c>
      <c r="J31" s="23" t="n">
        <v>-73</v>
      </c>
      <c r="K31" s="23" t="n">
        <v>0</v>
      </c>
      <c r="L31" s="23" t="n">
        <v>0</v>
      </c>
      <c r="M31" s="23" t="n">
        <v>0</v>
      </c>
      <c r="N31" s="23" t="n">
        <v>0</v>
      </c>
      <c r="O31" s="23" t="n">
        <v>0</v>
      </c>
      <c r="P31" s="24" t="n">
        <f aca="false">SUM(D31:O31)</f>
        <v>3188</v>
      </c>
      <c r="Q31" s="23" t="n">
        <f aca="false">SUM(D31:J31)</f>
        <v>3188</v>
      </c>
      <c r="R31" s="24" t="n">
        <f aca="false">P31-Q31</f>
        <v>0</v>
      </c>
    </row>
    <row r="32" customFormat="false" ht="3.95" hidden="false" customHeight="true" outlineLevel="0" collapsed="false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customFormat="false" ht="12.75" hidden="false" customHeight="false" outlineLevel="0" collapsed="false">
      <c r="A33" s="20" t="s">
        <v>42</v>
      </c>
      <c r="C33" s="21" t="n">
        <f aca="false">C17+C18+C27+SUM(C29:C31)</f>
        <v>40542</v>
      </c>
      <c r="D33" s="21" t="n">
        <f aca="false">D17+D18+D27+SUM(D29:D31)</f>
        <v>44439</v>
      </c>
      <c r="E33" s="21" t="n">
        <f aca="false">E17+E18+E27+SUM(E29:E31)</f>
        <v>41453</v>
      </c>
      <c r="F33" s="21" t="n">
        <f aca="false">F17+F18+F27+SUM(F29:F31)</f>
        <v>57404</v>
      </c>
      <c r="G33" s="21" t="n">
        <f aca="false">G17+G18+G27+SUM(G29:G31)</f>
        <v>40956</v>
      </c>
      <c r="H33" s="21" t="n">
        <f aca="false">H17+H18+H27+SUM(H29:H31)</f>
        <v>30453</v>
      </c>
      <c r="I33" s="21" t="n">
        <f aca="false">I17+I18+I27+SUM(I29:I31)</f>
        <v>36741</v>
      </c>
      <c r="J33" s="21" t="n">
        <f aca="false">J17+J18+J27+SUM(J29:J31)</f>
        <v>29898</v>
      </c>
      <c r="K33" s="21" t="n">
        <f aca="false">K17+K18+K27+SUM(K29:K31)</f>
        <v>29869</v>
      </c>
      <c r="L33" s="21" t="n">
        <f aca="false">L17+L18+L27+SUM(L29:L31)</f>
        <v>28120</v>
      </c>
      <c r="M33" s="21" t="n">
        <f aca="false">M17+M18+M27+SUM(M29:M31)</f>
        <v>27501</v>
      </c>
      <c r="N33" s="21" t="n">
        <f aca="false">N17+N18+N27+SUM(N29:N31)</f>
        <v>56488</v>
      </c>
      <c r="O33" s="21" t="n">
        <f aca="false">O17+O18+O27+SUM(O29:O31)</f>
        <v>57686</v>
      </c>
      <c r="P33" s="21"/>
    </row>
    <row r="34" customFormat="false" ht="3.95" hidden="false" customHeight="true" outlineLevel="0" collapsed="false"/>
    <row r="35" customFormat="false" ht="12.75" hidden="false" customHeight="false" outlineLevel="0" collapsed="false">
      <c r="A35" s="22" t="s">
        <v>30</v>
      </c>
      <c r="D35" s="21" t="n">
        <f aca="false">D33-C33</f>
        <v>3897</v>
      </c>
      <c r="E35" s="21" t="n">
        <f aca="false">E33-D33</f>
        <v>-2986</v>
      </c>
      <c r="F35" s="21" t="n">
        <f aca="false">F33-E33</f>
        <v>15951</v>
      </c>
      <c r="G35" s="21" t="n">
        <f aca="false">G33-F33</f>
        <v>-16448</v>
      </c>
      <c r="H35" s="21" t="n">
        <f aca="false">H33-G33</f>
        <v>-10503</v>
      </c>
      <c r="I35" s="21" t="n">
        <f aca="false">I33-H33</f>
        <v>6288</v>
      </c>
      <c r="J35" s="21" t="n">
        <f aca="false">J33-I33</f>
        <v>-6843</v>
      </c>
      <c r="K35" s="21" t="n">
        <f aca="false">K33-J33</f>
        <v>-29</v>
      </c>
      <c r="L35" s="21" t="n">
        <f aca="false">L33-K33</f>
        <v>-1749</v>
      </c>
      <c r="M35" s="21" t="n">
        <f aca="false">M33-L33</f>
        <v>-619</v>
      </c>
      <c r="N35" s="21" t="n">
        <f aca="false">N33-M33</f>
        <v>28987</v>
      </c>
      <c r="O35" s="21" t="n">
        <f aca="false">O33-N33</f>
        <v>1198</v>
      </c>
      <c r="P35" s="21" t="n">
        <f aca="false">SUM(D35:O35)</f>
        <v>17144</v>
      </c>
      <c r="Q35" s="25" t="n">
        <f aca="false">SUM(D35:J35)</f>
        <v>-10644</v>
      </c>
      <c r="R35" s="21" t="n">
        <f aca="false">P35-Q35</f>
        <v>27788</v>
      </c>
    </row>
    <row r="37" customFormat="false" ht="12.75" hidden="false" customHeight="false" outlineLevel="0" collapsed="false">
      <c r="A37" s="20" t="s">
        <v>43</v>
      </c>
      <c r="C37" s="21"/>
      <c r="D37" s="21" t="n">
        <f aca="false">C41</f>
        <v>0</v>
      </c>
      <c r="E37" s="21" t="n">
        <f aca="false">D41</f>
        <v>0</v>
      </c>
      <c r="F37" s="21" t="n">
        <f aca="false">E41</f>
        <v>0</v>
      </c>
      <c r="G37" s="21" t="n">
        <f aca="false">F41</f>
        <v>0</v>
      </c>
      <c r="H37" s="21" t="n">
        <f aca="false">G41</f>
        <v>32</v>
      </c>
      <c r="I37" s="21" t="n">
        <f aca="false">H41</f>
        <v>32</v>
      </c>
      <c r="J37" s="21" t="n">
        <f aca="false">I41</f>
        <v>3102</v>
      </c>
      <c r="K37" s="21" t="n">
        <f aca="false">J41</f>
        <v>7082</v>
      </c>
      <c r="L37" s="21" t="n">
        <f aca="false">K41</f>
        <v>7082</v>
      </c>
      <c r="M37" s="21" t="n">
        <f aca="false">L41</f>
        <v>7082</v>
      </c>
      <c r="N37" s="21" t="n">
        <f aca="false">M41</f>
        <v>7082</v>
      </c>
      <c r="O37" s="21" t="n">
        <f aca="false">N41</f>
        <v>7082</v>
      </c>
      <c r="P37" s="21"/>
      <c r="Q37" s="21"/>
    </row>
    <row r="38" customFormat="false" ht="12.75" hidden="false" customHeight="false" outlineLevel="0" collapsed="false">
      <c r="A38" s="22" t="s">
        <v>44</v>
      </c>
      <c r="C38" s="25"/>
      <c r="D38" s="25" t="n">
        <v>0</v>
      </c>
      <c r="E38" s="25" t="n">
        <v>0</v>
      </c>
      <c r="F38" s="25" t="n">
        <v>0</v>
      </c>
      <c r="G38" s="25" t="n">
        <v>32</v>
      </c>
      <c r="H38" s="25" t="n">
        <v>0</v>
      </c>
      <c r="I38" s="25" t="n">
        <v>3070</v>
      </c>
      <c r="J38" s="25" t="n">
        <v>3980</v>
      </c>
      <c r="K38" s="25" t="n">
        <v>0</v>
      </c>
      <c r="L38" s="25" t="n">
        <v>0</v>
      </c>
      <c r="M38" s="25" t="n">
        <v>0</v>
      </c>
      <c r="N38" s="25" t="n">
        <v>0</v>
      </c>
      <c r="O38" s="25" t="n">
        <v>0</v>
      </c>
      <c r="P38" s="21" t="n">
        <f aca="false">SUM(D38:O38)</f>
        <v>7082</v>
      </c>
      <c r="Q38" s="25" t="n">
        <f aca="false">SUM(D38:J38)</f>
        <v>7082</v>
      </c>
      <c r="R38" s="21" t="n">
        <f aca="false">P38-Q38</f>
        <v>0</v>
      </c>
    </row>
    <row r="39" customFormat="false" ht="12.75" hidden="false" customHeight="false" outlineLevel="0" collapsed="false">
      <c r="A39" s="22" t="s">
        <v>28</v>
      </c>
      <c r="C39" s="23" t="n">
        <v>0</v>
      </c>
      <c r="D39" s="23" t="n">
        <v>0</v>
      </c>
      <c r="E39" s="23" t="n">
        <v>0</v>
      </c>
      <c r="F39" s="23" t="n">
        <v>0</v>
      </c>
      <c r="G39" s="23" t="n">
        <v>0</v>
      </c>
      <c r="H39" s="23" t="n">
        <v>0</v>
      </c>
      <c r="I39" s="23" t="n">
        <v>0</v>
      </c>
      <c r="J39" s="23" t="n">
        <v>0</v>
      </c>
      <c r="K39" s="23" t="n">
        <v>0</v>
      </c>
      <c r="L39" s="23" t="n">
        <v>0</v>
      </c>
      <c r="M39" s="23" t="n">
        <v>0</v>
      </c>
      <c r="N39" s="23" t="n">
        <v>0</v>
      </c>
      <c r="O39" s="23" t="n">
        <v>0</v>
      </c>
      <c r="P39" s="24" t="n">
        <f aca="false">SUM(D39:O39)</f>
        <v>0</v>
      </c>
      <c r="Q39" s="23" t="n">
        <f aca="false">SUM(D39:J39)</f>
        <v>0</v>
      </c>
      <c r="R39" s="24" t="n">
        <f aca="false">P39-Q39</f>
        <v>0</v>
      </c>
    </row>
    <row r="40" customFormat="false" ht="3.95" hidden="false" customHeight="true" outlineLevel="0" collapsed="false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customFormat="false" ht="12.75" hidden="false" customHeight="false" outlineLevel="0" collapsed="false">
      <c r="A41" s="20" t="s">
        <v>45</v>
      </c>
      <c r="C41" s="25" t="n">
        <v>0</v>
      </c>
      <c r="D41" s="21" t="n">
        <f aca="false">SUM(D37:D40)</f>
        <v>0</v>
      </c>
      <c r="E41" s="21" t="n">
        <f aca="false">SUM(E37:E40)</f>
        <v>0</v>
      </c>
      <c r="F41" s="21" t="n">
        <f aca="false">SUM(F37:F40)</f>
        <v>0</v>
      </c>
      <c r="G41" s="21" t="n">
        <f aca="false">SUM(G37:G40)</f>
        <v>32</v>
      </c>
      <c r="H41" s="21" t="n">
        <f aca="false">SUM(H37:H40)</f>
        <v>32</v>
      </c>
      <c r="I41" s="21" t="n">
        <f aca="false">SUM(I37:I40)</f>
        <v>3102</v>
      </c>
      <c r="J41" s="21" t="n">
        <f aca="false">SUM(J37:J40)</f>
        <v>7082</v>
      </c>
      <c r="K41" s="21" t="n">
        <f aca="false">SUM(K37:K40)</f>
        <v>7082</v>
      </c>
      <c r="L41" s="21" t="n">
        <f aca="false">SUM(L37:L40)</f>
        <v>7082</v>
      </c>
      <c r="M41" s="21" t="n">
        <f aca="false">SUM(M37:M40)</f>
        <v>7082</v>
      </c>
      <c r="N41" s="21" t="n">
        <f aca="false">SUM(N37:N40)</f>
        <v>7082</v>
      </c>
      <c r="O41" s="21" t="n">
        <f aca="false">SUM(O37:O40)</f>
        <v>7082</v>
      </c>
      <c r="P41" s="21"/>
      <c r="Q41" s="21"/>
    </row>
    <row r="42" customFormat="false" ht="3.95" hidden="false" customHeight="true" outlineLevel="0" collapsed="false"/>
    <row r="43" customFormat="false" ht="12.75" hidden="false" customHeight="false" outlineLevel="0" collapsed="false">
      <c r="A43" s="22" t="s">
        <v>30</v>
      </c>
      <c r="C43" s="21"/>
      <c r="D43" s="21" t="n">
        <f aca="false">D41-C41</f>
        <v>0</v>
      </c>
      <c r="E43" s="21" t="n">
        <f aca="false">E41-D41</f>
        <v>0</v>
      </c>
      <c r="F43" s="21" t="n">
        <f aca="false">F41-E41</f>
        <v>0</v>
      </c>
      <c r="G43" s="21" t="n">
        <f aca="false">G41-F41</f>
        <v>32</v>
      </c>
      <c r="H43" s="21" t="n">
        <f aca="false">H41-G41</f>
        <v>0</v>
      </c>
      <c r="I43" s="21" t="n">
        <f aca="false">I41-H41</f>
        <v>3070</v>
      </c>
      <c r="J43" s="21" t="n">
        <f aca="false">J41-I41</f>
        <v>3980</v>
      </c>
      <c r="K43" s="21" t="n">
        <f aca="false">K41-J41</f>
        <v>0</v>
      </c>
      <c r="L43" s="21" t="n">
        <f aca="false">L41-K41</f>
        <v>0</v>
      </c>
      <c r="M43" s="21" t="n">
        <f aca="false">M41-L41</f>
        <v>0</v>
      </c>
      <c r="N43" s="21" t="n">
        <f aca="false">N41-M41</f>
        <v>0</v>
      </c>
      <c r="O43" s="21" t="n">
        <f aca="false">O41-N41</f>
        <v>0</v>
      </c>
      <c r="P43" s="21" t="n">
        <f aca="false">SUM(D43:O43)</f>
        <v>7082</v>
      </c>
      <c r="Q43" s="21" t="n">
        <f aca="false">SUM(Q38:Q40)</f>
        <v>7082</v>
      </c>
      <c r="R43" s="21" t="n">
        <f aca="false">P43-Q43</f>
        <v>0</v>
      </c>
    </row>
    <row r="45" customFormat="false" ht="12.75" hidden="false" customHeight="false" outlineLevel="0" collapsed="false">
      <c r="A45" s="20" t="s">
        <v>46</v>
      </c>
      <c r="C45" s="21"/>
      <c r="D45" s="21" t="n">
        <f aca="false">C49</f>
        <v>0</v>
      </c>
      <c r="E45" s="21" t="n">
        <f aca="false">D49</f>
        <v>0</v>
      </c>
      <c r="F45" s="21" t="n">
        <f aca="false">E49</f>
        <v>0</v>
      </c>
      <c r="G45" s="21" t="n">
        <f aca="false">F49</f>
        <v>0</v>
      </c>
      <c r="H45" s="21" t="n">
        <f aca="false">G49</f>
        <v>0</v>
      </c>
      <c r="I45" s="21" t="n">
        <f aca="false">H49</f>
        <v>0</v>
      </c>
      <c r="J45" s="21" t="n">
        <f aca="false">I49</f>
        <v>0</v>
      </c>
      <c r="K45" s="21" t="n">
        <f aca="false">J49</f>
        <v>0</v>
      </c>
      <c r="L45" s="21" t="n">
        <f aca="false">K49</f>
        <v>0</v>
      </c>
      <c r="M45" s="21" t="n">
        <f aca="false">L49</f>
        <v>0</v>
      </c>
      <c r="N45" s="21" t="n">
        <f aca="false">M49</f>
        <v>0</v>
      </c>
      <c r="O45" s="21" t="n">
        <f aca="false">N49</f>
        <v>0</v>
      </c>
      <c r="P45" s="21"/>
      <c r="Q45" s="21"/>
    </row>
    <row r="46" customFormat="false" ht="12.75" hidden="false" customHeight="false" outlineLevel="0" collapsed="false">
      <c r="A46" s="22" t="s">
        <v>47</v>
      </c>
      <c r="C46" s="25"/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5" t="n">
        <v>0</v>
      </c>
      <c r="J46" s="25" t="n">
        <v>0</v>
      </c>
      <c r="K46" s="25" t="n">
        <v>0</v>
      </c>
      <c r="L46" s="25" t="n">
        <v>0</v>
      </c>
      <c r="M46" s="25" t="n">
        <v>0</v>
      </c>
      <c r="N46" s="25" t="n">
        <v>0</v>
      </c>
      <c r="O46" s="25" t="n">
        <v>0</v>
      </c>
      <c r="P46" s="21" t="n">
        <f aca="false">SUM(D46:O46)</f>
        <v>0</v>
      </c>
      <c r="Q46" s="25" t="n">
        <f aca="false">SUM(D46:J46)</f>
        <v>0</v>
      </c>
      <c r="R46" s="21" t="n">
        <f aca="false">P46-Q46</f>
        <v>0</v>
      </c>
    </row>
    <row r="47" customFormat="false" ht="12.75" hidden="false" customHeight="false" outlineLevel="0" collapsed="false">
      <c r="A47" s="22" t="s">
        <v>28</v>
      </c>
      <c r="C47" s="23" t="n">
        <v>0</v>
      </c>
      <c r="D47" s="23" t="n">
        <v>0</v>
      </c>
      <c r="E47" s="23" t="n">
        <v>0</v>
      </c>
      <c r="F47" s="23" t="n">
        <v>0</v>
      </c>
      <c r="G47" s="23" t="n">
        <v>0</v>
      </c>
      <c r="H47" s="23" t="n">
        <v>0</v>
      </c>
      <c r="I47" s="23" t="n">
        <v>0</v>
      </c>
      <c r="J47" s="23" t="n">
        <v>0</v>
      </c>
      <c r="K47" s="23" t="n">
        <v>0</v>
      </c>
      <c r="L47" s="23" t="n">
        <v>0</v>
      </c>
      <c r="M47" s="23" t="n">
        <v>0</v>
      </c>
      <c r="N47" s="23" t="n">
        <v>0</v>
      </c>
      <c r="O47" s="23" t="n">
        <v>0</v>
      </c>
      <c r="P47" s="24" t="n">
        <f aca="false">SUM(D47:O47)</f>
        <v>0</v>
      </c>
      <c r="Q47" s="23" t="n">
        <f aca="false">SUM(D47:J47)</f>
        <v>0</v>
      </c>
      <c r="R47" s="24" t="n">
        <f aca="false">P47-Q47</f>
        <v>0</v>
      </c>
    </row>
    <row r="48" customFormat="false" ht="3.95" hidden="false" customHeight="true" outlineLevel="0" collapsed="false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customFormat="false" ht="12.75" hidden="false" customHeight="false" outlineLevel="0" collapsed="false">
      <c r="A49" s="20" t="s">
        <v>48</v>
      </c>
      <c r="C49" s="25" t="n">
        <v>0</v>
      </c>
      <c r="D49" s="21" t="n">
        <f aca="false">SUM(D45:D48)</f>
        <v>0</v>
      </c>
      <c r="E49" s="21" t="n">
        <f aca="false">SUM(E45:E48)</f>
        <v>0</v>
      </c>
      <c r="F49" s="21" t="n">
        <f aca="false">SUM(F45:F48)</f>
        <v>0</v>
      </c>
      <c r="G49" s="21" t="n">
        <f aca="false">SUM(G45:G48)</f>
        <v>0</v>
      </c>
      <c r="H49" s="21" t="n">
        <f aca="false">SUM(H45:H48)</f>
        <v>0</v>
      </c>
      <c r="I49" s="21" t="n">
        <f aca="false">SUM(I45:I48)</f>
        <v>0</v>
      </c>
      <c r="J49" s="21" t="n">
        <f aca="false">SUM(J45:J48)</f>
        <v>0</v>
      </c>
      <c r="K49" s="21" t="n">
        <f aca="false">SUM(K45:K48)</f>
        <v>0</v>
      </c>
      <c r="L49" s="21" t="n">
        <f aca="false">SUM(L45:L48)</f>
        <v>0</v>
      </c>
      <c r="M49" s="21" t="n">
        <f aca="false">SUM(M45:M48)</f>
        <v>0</v>
      </c>
      <c r="N49" s="21" t="n">
        <f aca="false">SUM(N45:N48)</f>
        <v>0</v>
      </c>
      <c r="O49" s="21" t="n">
        <f aca="false">SUM(O45:O48)</f>
        <v>0</v>
      </c>
      <c r="P49" s="21"/>
      <c r="Q49" s="21"/>
    </row>
    <row r="50" customFormat="false" ht="3.95" hidden="false" customHeight="true" outlineLevel="0" collapsed="false"/>
    <row r="51" customFormat="false" ht="12.75" hidden="false" customHeight="false" outlineLevel="0" collapsed="false">
      <c r="A51" s="22" t="s">
        <v>30</v>
      </c>
      <c r="C51" s="21"/>
      <c r="D51" s="21" t="n">
        <f aca="false">D49-C49</f>
        <v>0</v>
      </c>
      <c r="E51" s="21" t="n">
        <f aca="false">E49-D49</f>
        <v>0</v>
      </c>
      <c r="F51" s="21" t="n">
        <f aca="false">F49-E49</f>
        <v>0</v>
      </c>
      <c r="G51" s="21" t="n">
        <f aca="false">G49-F49</f>
        <v>0</v>
      </c>
      <c r="H51" s="21" t="n">
        <f aca="false">H49-G49</f>
        <v>0</v>
      </c>
      <c r="I51" s="21" t="n">
        <f aca="false">I49-H49</f>
        <v>0</v>
      </c>
      <c r="J51" s="21" t="n">
        <f aca="false">J49-I49</f>
        <v>0</v>
      </c>
      <c r="K51" s="21" t="n">
        <f aca="false">K49-J49</f>
        <v>0</v>
      </c>
      <c r="L51" s="21" t="n">
        <f aca="false">L49-K49</f>
        <v>0</v>
      </c>
      <c r="M51" s="21" t="n">
        <f aca="false">M49-L49</f>
        <v>0</v>
      </c>
      <c r="N51" s="21" t="n">
        <f aca="false">N49-M49</f>
        <v>0</v>
      </c>
      <c r="O51" s="21" t="n">
        <f aca="false">O49-N49</f>
        <v>0</v>
      </c>
      <c r="P51" s="21" t="n">
        <f aca="false">SUM(D51:O51)</f>
        <v>0</v>
      </c>
      <c r="Q51" s="21" t="n">
        <f aca="false">SUM(Q46:Q48)</f>
        <v>0</v>
      </c>
      <c r="R51" s="21" t="n">
        <f aca="false">P51-Q51</f>
        <v>0</v>
      </c>
    </row>
    <row r="53" customFormat="false" ht="12.75" hidden="false" customHeight="false" outlineLevel="0" collapsed="false">
      <c r="A53" s="20" t="s">
        <v>49</v>
      </c>
      <c r="C53" s="21"/>
      <c r="D53" s="21" t="n">
        <f aca="false">C56</f>
        <v>5865</v>
      </c>
      <c r="E53" s="21" t="n">
        <f aca="false">D56</f>
        <v>5860</v>
      </c>
      <c r="F53" s="21" t="n">
        <f aca="false">E56</f>
        <v>5857</v>
      </c>
      <c r="G53" s="21" t="n">
        <f aca="false">F56</f>
        <v>4596</v>
      </c>
      <c r="H53" s="21" t="n">
        <f aca="false">G56</f>
        <v>4586</v>
      </c>
      <c r="I53" s="21" t="n">
        <f aca="false">H56</f>
        <v>4389</v>
      </c>
      <c r="J53" s="21" t="n">
        <f aca="false">I56</f>
        <v>4372</v>
      </c>
      <c r="K53" s="21" t="n">
        <f aca="false">J56</f>
        <v>4373</v>
      </c>
      <c r="L53" s="21" t="n">
        <f aca="false">K56</f>
        <v>4373</v>
      </c>
      <c r="M53" s="21" t="n">
        <f aca="false">L56</f>
        <v>4373</v>
      </c>
      <c r="N53" s="21" t="n">
        <f aca="false">M56</f>
        <v>4373</v>
      </c>
      <c r="O53" s="21" t="n">
        <f aca="false">N56</f>
        <v>4373</v>
      </c>
      <c r="P53" s="21"/>
    </row>
    <row r="54" customFormat="false" ht="12.75" hidden="false" customHeight="false" outlineLevel="0" collapsed="false">
      <c r="A54" s="22" t="s">
        <v>50</v>
      </c>
      <c r="C54" s="23" t="n">
        <v>0</v>
      </c>
      <c r="D54" s="23" t="n">
        <v>-5</v>
      </c>
      <c r="E54" s="23" t="n">
        <v>-3</v>
      </c>
      <c r="F54" s="23" t="n">
        <v>-1261</v>
      </c>
      <c r="G54" s="23" t="n">
        <v>-10</v>
      </c>
      <c r="H54" s="23" t="n">
        <v>-197</v>
      </c>
      <c r="I54" s="23" t="n">
        <v>-17</v>
      </c>
      <c r="J54" s="23" t="n">
        <v>1</v>
      </c>
      <c r="K54" s="23" t="n">
        <v>0</v>
      </c>
      <c r="L54" s="23" t="n">
        <v>0</v>
      </c>
      <c r="M54" s="23" t="n">
        <v>0</v>
      </c>
      <c r="N54" s="23" t="n">
        <v>0</v>
      </c>
      <c r="O54" s="23" t="n">
        <v>0</v>
      </c>
      <c r="P54" s="24" t="n">
        <f aca="false">SUM(D54:O54)</f>
        <v>-1492</v>
      </c>
      <c r="Q54" s="23" t="n">
        <f aca="false">SUM(D54:J54)</f>
        <v>-1492</v>
      </c>
      <c r="R54" s="24" t="n">
        <f aca="false">P54-Q54</f>
        <v>0</v>
      </c>
    </row>
    <row r="55" customFormat="false" ht="3.95" hidden="false" customHeight="true" outlineLevel="0" collapsed="false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customFormat="false" ht="12.75" hidden="false" customHeight="false" outlineLevel="0" collapsed="false">
      <c r="A56" s="20" t="s">
        <v>51</v>
      </c>
      <c r="C56" s="25" t="n">
        <v>5865</v>
      </c>
      <c r="D56" s="21" t="n">
        <f aca="false">D53+D54</f>
        <v>5860</v>
      </c>
      <c r="E56" s="21" t="n">
        <f aca="false">E53+E54</f>
        <v>5857</v>
      </c>
      <c r="F56" s="21" t="n">
        <f aca="false">F53+F54</f>
        <v>4596</v>
      </c>
      <c r="G56" s="21" t="n">
        <f aca="false">G53+G54</f>
        <v>4586</v>
      </c>
      <c r="H56" s="21" t="n">
        <f aca="false">H53+H54</f>
        <v>4389</v>
      </c>
      <c r="I56" s="21" t="n">
        <f aca="false">I53+I54</f>
        <v>4372</v>
      </c>
      <c r="J56" s="21" t="n">
        <f aca="false">J53+J54</f>
        <v>4373</v>
      </c>
      <c r="K56" s="21" t="n">
        <f aca="false">K53+K54</f>
        <v>4373</v>
      </c>
      <c r="L56" s="21" t="n">
        <f aca="false">L53+L54</f>
        <v>4373</v>
      </c>
      <c r="M56" s="21" t="n">
        <f aca="false">M53+M54</f>
        <v>4373</v>
      </c>
      <c r="N56" s="21" t="n">
        <f aca="false">N53+N54</f>
        <v>4373</v>
      </c>
      <c r="O56" s="21" t="n">
        <f aca="false">O53+O54</f>
        <v>4373</v>
      </c>
      <c r="P56" s="21"/>
    </row>
    <row r="57" customFormat="false" ht="3.95" hidden="false" customHeight="true" outlineLevel="0" collapsed="false"/>
    <row r="58" customFormat="false" ht="12.75" hidden="false" customHeight="false" outlineLevel="0" collapsed="false">
      <c r="A58" s="22" t="s">
        <v>30</v>
      </c>
      <c r="C58" s="21"/>
      <c r="D58" s="21" t="n">
        <f aca="false">D56-C56</f>
        <v>-5</v>
      </c>
      <c r="E58" s="21" t="n">
        <f aca="false">E56-D56</f>
        <v>-3</v>
      </c>
      <c r="F58" s="21" t="n">
        <f aca="false">F56-E56</f>
        <v>-1261</v>
      </c>
      <c r="G58" s="21" t="n">
        <f aca="false">G56-F56</f>
        <v>-10</v>
      </c>
      <c r="H58" s="21" t="n">
        <f aca="false">H56-G56</f>
        <v>-197</v>
      </c>
      <c r="I58" s="21" t="n">
        <f aca="false">I56-H56</f>
        <v>-17</v>
      </c>
      <c r="J58" s="21" t="n">
        <f aca="false">J56-I56</f>
        <v>1</v>
      </c>
      <c r="K58" s="21" t="n">
        <f aca="false">K56-J56</f>
        <v>0</v>
      </c>
      <c r="L58" s="21" t="n">
        <f aca="false">L56-K56</f>
        <v>0</v>
      </c>
      <c r="M58" s="21" t="n">
        <f aca="false">M56-L56</f>
        <v>0</v>
      </c>
      <c r="N58" s="21" t="n">
        <f aca="false">N56-M56</f>
        <v>0</v>
      </c>
      <c r="O58" s="21" t="n">
        <f aca="false">O56-N56</f>
        <v>0</v>
      </c>
      <c r="P58" s="21" t="n">
        <f aca="false">SUM(D58:O58)</f>
        <v>-1492</v>
      </c>
      <c r="Q58" s="21" t="n">
        <f aca="false">SUM(Q54:Q55)</f>
        <v>-1492</v>
      </c>
      <c r="R58" s="21" t="n">
        <f aca="false">P58-Q58</f>
        <v>0</v>
      </c>
    </row>
    <row r="59" customFormat="false" ht="12.75" hidden="false" customHeight="false" outlineLevel="0" collapsed="false">
      <c r="A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customFormat="false" ht="12.75" hidden="false" customHeight="false" outlineLevel="0" collapsed="false">
      <c r="A60" s="20" t="s">
        <v>52</v>
      </c>
      <c r="C60" s="21"/>
      <c r="D60" s="21" t="n">
        <f aca="false">C63</f>
        <v>80047</v>
      </c>
      <c r="E60" s="21" t="n">
        <f aca="false">D63</f>
        <v>82120</v>
      </c>
      <c r="F60" s="21" t="n">
        <f aca="false">E63</f>
        <v>71100</v>
      </c>
      <c r="G60" s="21" t="n">
        <f aca="false">F63</f>
        <v>61495</v>
      </c>
      <c r="H60" s="21" t="n">
        <f aca="false">G63</f>
        <v>57748</v>
      </c>
      <c r="I60" s="21" t="n">
        <f aca="false">H63</f>
        <v>52160</v>
      </c>
      <c r="J60" s="21" t="n">
        <f aca="false">I63</f>
        <v>57225</v>
      </c>
      <c r="K60" s="21" t="n">
        <f aca="false">J63</f>
        <v>41497</v>
      </c>
      <c r="L60" s="21" t="n">
        <f aca="false">K63</f>
        <v>41497</v>
      </c>
      <c r="M60" s="21" t="n">
        <f aca="false">L63</f>
        <v>41497</v>
      </c>
      <c r="N60" s="21" t="n">
        <f aca="false">M63</f>
        <v>41497</v>
      </c>
      <c r="O60" s="21" t="n">
        <f aca="false">N63</f>
        <v>41497</v>
      </c>
      <c r="P60" s="21"/>
    </row>
    <row r="61" customFormat="false" ht="12.75" hidden="false" customHeight="false" outlineLevel="0" collapsed="false">
      <c r="A61" s="22" t="s">
        <v>28</v>
      </c>
      <c r="C61" s="23" t="n">
        <v>0</v>
      </c>
      <c r="D61" s="23" t="n">
        <v>2073</v>
      </c>
      <c r="E61" s="23" t="n">
        <v>-11020</v>
      </c>
      <c r="F61" s="23" t="n">
        <v>-9605</v>
      </c>
      <c r="G61" s="23" t="n">
        <v>-3747</v>
      </c>
      <c r="H61" s="23" t="n">
        <v>-5588</v>
      </c>
      <c r="I61" s="23" t="n">
        <v>5065</v>
      </c>
      <c r="J61" s="23" t="n">
        <v>-15728</v>
      </c>
      <c r="K61" s="23" t="n">
        <v>0</v>
      </c>
      <c r="L61" s="23" t="n">
        <v>0</v>
      </c>
      <c r="M61" s="23" t="n">
        <v>0</v>
      </c>
      <c r="N61" s="23" t="n">
        <v>0</v>
      </c>
      <c r="O61" s="23" t="n">
        <v>0</v>
      </c>
      <c r="P61" s="24" t="n">
        <f aca="false">SUM(D61:O61)</f>
        <v>-38550</v>
      </c>
      <c r="Q61" s="23" t="n">
        <f aca="false">SUM(D61:J61)</f>
        <v>-38550</v>
      </c>
      <c r="R61" s="24" t="n">
        <f aca="false">P61-Q61</f>
        <v>0</v>
      </c>
    </row>
    <row r="62" customFormat="false" ht="3.95" hidden="false" customHeight="true" outlineLevel="0" collapsed="false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customFormat="false" ht="12.75" hidden="false" customHeight="false" outlineLevel="0" collapsed="false">
      <c r="A63" s="20" t="s">
        <v>53</v>
      </c>
      <c r="C63" s="25" t="n">
        <v>80047</v>
      </c>
      <c r="D63" s="21" t="n">
        <f aca="false">D60+D61</f>
        <v>82120</v>
      </c>
      <c r="E63" s="21" t="n">
        <f aca="false">E60+E61</f>
        <v>71100</v>
      </c>
      <c r="F63" s="21" t="n">
        <f aca="false">F60+F61</f>
        <v>61495</v>
      </c>
      <c r="G63" s="21" t="n">
        <f aca="false">G60+G61</f>
        <v>57748</v>
      </c>
      <c r="H63" s="21" t="n">
        <f aca="false">H60+H61</f>
        <v>52160</v>
      </c>
      <c r="I63" s="21" t="n">
        <f aca="false">I60+I61</f>
        <v>57225</v>
      </c>
      <c r="J63" s="21" t="n">
        <f aca="false">J60+J61</f>
        <v>41497</v>
      </c>
      <c r="K63" s="21" t="n">
        <f aca="false">K60+K61</f>
        <v>41497</v>
      </c>
      <c r="L63" s="21" t="n">
        <f aca="false">L60+L61</f>
        <v>41497</v>
      </c>
      <c r="M63" s="21" t="n">
        <f aca="false">M60+M61</f>
        <v>41497</v>
      </c>
      <c r="N63" s="21" t="n">
        <f aca="false">N60+N61</f>
        <v>41497</v>
      </c>
      <c r="O63" s="21" t="n">
        <f aca="false">O60+O61</f>
        <v>41497</v>
      </c>
      <c r="P63" s="21"/>
    </row>
    <row r="64" customFormat="false" ht="3.95" hidden="false" customHeight="true" outlineLevel="0" collapsed="false"/>
    <row r="65" customFormat="false" ht="12.75" hidden="false" customHeight="false" outlineLevel="0" collapsed="false">
      <c r="A65" s="22" t="s">
        <v>30</v>
      </c>
      <c r="C65" s="21"/>
      <c r="D65" s="21" t="n">
        <f aca="false">D63-C63</f>
        <v>2073</v>
      </c>
      <c r="E65" s="21" t="n">
        <f aca="false">E63-D63</f>
        <v>-11020</v>
      </c>
      <c r="F65" s="21" t="n">
        <f aca="false">F63-E63</f>
        <v>-9605</v>
      </c>
      <c r="G65" s="21" t="n">
        <f aca="false">G63-F63</f>
        <v>-3747</v>
      </c>
      <c r="H65" s="21" t="n">
        <f aca="false">H63-G63</f>
        <v>-5588</v>
      </c>
      <c r="I65" s="21" t="n">
        <f aca="false">I63-H63</f>
        <v>5065</v>
      </c>
      <c r="J65" s="21" t="n">
        <f aca="false">J63-I63</f>
        <v>-15728</v>
      </c>
      <c r="K65" s="21" t="n">
        <f aca="false">K63-J63</f>
        <v>0</v>
      </c>
      <c r="L65" s="21" t="n">
        <f aca="false">L63-K63</f>
        <v>0</v>
      </c>
      <c r="M65" s="21" t="n">
        <f aca="false">M63-L63</f>
        <v>0</v>
      </c>
      <c r="N65" s="21" t="n">
        <f aca="false">N63-M63</f>
        <v>0</v>
      </c>
      <c r="O65" s="21" t="n">
        <f aca="false">O63-N63</f>
        <v>0</v>
      </c>
      <c r="P65" s="21" t="n">
        <f aca="false">SUM(D65:O65)</f>
        <v>-38550</v>
      </c>
      <c r="Q65" s="21" t="n">
        <f aca="false">SUM(Q61:Q62)</f>
        <v>-38550</v>
      </c>
      <c r="R65" s="21" t="n">
        <f aca="false">P65-Q65</f>
        <v>0</v>
      </c>
    </row>
    <row r="66" customFormat="false" ht="12.75" hidden="false" customHeight="false" outlineLevel="0" collapsed="false">
      <c r="A66" s="22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customFormat="false" ht="12.75" hidden="false" customHeight="false" outlineLevel="0" collapsed="false">
      <c r="A67" s="20" t="s">
        <v>54</v>
      </c>
      <c r="C67" s="21"/>
      <c r="D67" s="21" t="n">
        <f aca="false">C72</f>
        <v>0</v>
      </c>
      <c r="E67" s="21" t="n">
        <f aca="false">D72</f>
        <v>0</v>
      </c>
      <c r="F67" s="21" t="n">
        <f aca="false">E72</f>
        <v>0</v>
      </c>
      <c r="G67" s="21" t="n">
        <f aca="false">F72</f>
        <v>0</v>
      </c>
      <c r="H67" s="21" t="n">
        <f aca="false">G72</f>
        <v>0</v>
      </c>
      <c r="I67" s="21" t="n">
        <f aca="false">H72</f>
        <v>0</v>
      </c>
      <c r="J67" s="21" t="n">
        <f aca="false">I72</f>
        <v>162</v>
      </c>
      <c r="K67" s="21" t="n">
        <f aca="false">J72</f>
        <v>162</v>
      </c>
      <c r="L67" s="21" t="n">
        <f aca="false">K72</f>
        <v>162</v>
      </c>
      <c r="M67" s="21" t="n">
        <f aca="false">L72</f>
        <v>162</v>
      </c>
      <c r="N67" s="21" t="n">
        <f aca="false">M72</f>
        <v>162</v>
      </c>
      <c r="O67" s="21" t="n">
        <f aca="false">N72</f>
        <v>162</v>
      </c>
      <c r="P67" s="21"/>
    </row>
    <row r="68" customFormat="false" ht="12.75" hidden="false" customHeight="false" outlineLevel="0" collapsed="false">
      <c r="A68" s="22" t="s">
        <v>55</v>
      </c>
      <c r="C68" s="25" t="n">
        <v>0</v>
      </c>
      <c r="D68" s="25" t="n">
        <v>0</v>
      </c>
      <c r="E68" s="25" t="n">
        <v>0</v>
      </c>
      <c r="F68" s="25" t="n">
        <v>0</v>
      </c>
      <c r="G68" s="25" t="n">
        <v>0</v>
      </c>
      <c r="H68" s="25" t="n">
        <v>0</v>
      </c>
      <c r="I68" s="25" t="n">
        <v>0</v>
      </c>
      <c r="J68" s="25" t="n">
        <v>0</v>
      </c>
      <c r="K68" s="25" t="n">
        <v>0</v>
      </c>
      <c r="L68" s="25" t="n">
        <v>0</v>
      </c>
      <c r="M68" s="25" t="n">
        <v>0</v>
      </c>
      <c r="N68" s="25" t="n">
        <v>0</v>
      </c>
      <c r="O68" s="25" t="n">
        <v>0</v>
      </c>
      <c r="P68" s="21" t="n">
        <f aca="false">SUM(D68:O68)</f>
        <v>0</v>
      </c>
      <c r="Q68" s="25" t="n">
        <f aca="false">SUM(D68:J68)</f>
        <v>0</v>
      </c>
      <c r="R68" s="21" t="n">
        <f aca="false">P68-Q68</f>
        <v>0</v>
      </c>
    </row>
    <row r="69" customFormat="false" ht="12.75" hidden="false" customHeight="false" outlineLevel="0" collapsed="false">
      <c r="A69" s="22" t="s">
        <v>56</v>
      </c>
      <c r="C69" s="25" t="n">
        <v>0</v>
      </c>
      <c r="D69" s="25" t="n">
        <v>0</v>
      </c>
      <c r="E69" s="25" t="n">
        <v>0</v>
      </c>
      <c r="F69" s="25" t="n">
        <v>0</v>
      </c>
      <c r="G69" s="25" t="n">
        <v>0</v>
      </c>
      <c r="H69" s="25" t="n">
        <v>0</v>
      </c>
      <c r="I69" s="25" t="n">
        <v>0</v>
      </c>
      <c r="J69" s="25" t="n">
        <v>0</v>
      </c>
      <c r="K69" s="25" t="n">
        <v>0</v>
      </c>
      <c r="L69" s="25" t="n">
        <v>0</v>
      </c>
      <c r="M69" s="25" t="n">
        <v>0</v>
      </c>
      <c r="N69" s="25" t="n">
        <v>0</v>
      </c>
      <c r="O69" s="25" t="n">
        <v>1080</v>
      </c>
      <c r="P69" s="21" t="n">
        <f aca="false">SUM(D69:O69)</f>
        <v>1080</v>
      </c>
      <c r="Q69" s="25" t="n">
        <f aca="false">SUM(D69:J69)</f>
        <v>0</v>
      </c>
      <c r="R69" s="21" t="n">
        <f aca="false">P69-Q69</f>
        <v>1080</v>
      </c>
    </row>
    <row r="70" customFormat="false" ht="12.75" hidden="false" customHeight="false" outlineLevel="0" collapsed="false">
      <c r="A70" s="22" t="s">
        <v>28</v>
      </c>
      <c r="C70" s="23" t="n">
        <v>0</v>
      </c>
      <c r="D70" s="23" t="n">
        <v>0</v>
      </c>
      <c r="E70" s="23" t="n">
        <v>0</v>
      </c>
      <c r="F70" s="23" t="n">
        <v>0</v>
      </c>
      <c r="G70" s="23" t="n">
        <v>0</v>
      </c>
      <c r="H70" s="23" t="n">
        <v>0</v>
      </c>
      <c r="I70" s="23" t="n">
        <v>162</v>
      </c>
      <c r="J70" s="23" t="n">
        <v>0</v>
      </c>
      <c r="K70" s="23" t="n">
        <v>0</v>
      </c>
      <c r="L70" s="23" t="n">
        <v>0</v>
      </c>
      <c r="M70" s="23" t="n">
        <v>0</v>
      </c>
      <c r="N70" s="23" t="n">
        <v>0</v>
      </c>
      <c r="O70" s="23" t="n">
        <v>0</v>
      </c>
      <c r="P70" s="24" t="n">
        <f aca="false">SUM(D70:O70)</f>
        <v>162</v>
      </c>
      <c r="Q70" s="23" t="n">
        <f aca="false">SUM(D70:J70)</f>
        <v>162</v>
      </c>
      <c r="R70" s="24" t="n">
        <f aca="false">P70-Q70</f>
        <v>0</v>
      </c>
    </row>
    <row r="71" customFormat="false" ht="3.95" hidden="false" customHeight="true" outlineLevel="0" collapsed="false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customFormat="false" ht="12.75" hidden="false" customHeight="false" outlineLevel="0" collapsed="false">
      <c r="A72" s="20" t="s">
        <v>57</v>
      </c>
      <c r="C72" s="21" t="n">
        <f aca="false">SUM(C67:C71)</f>
        <v>0</v>
      </c>
      <c r="D72" s="21" t="n">
        <f aca="false">SUM(D67:D71)</f>
        <v>0</v>
      </c>
      <c r="E72" s="21" t="n">
        <f aca="false">SUM(E67:E71)</f>
        <v>0</v>
      </c>
      <c r="F72" s="21" t="n">
        <f aca="false">SUM(F67:F71)</f>
        <v>0</v>
      </c>
      <c r="G72" s="21" t="n">
        <f aca="false">SUM(G67:G71)</f>
        <v>0</v>
      </c>
      <c r="H72" s="21" t="n">
        <f aca="false">SUM(H67:H71)</f>
        <v>0</v>
      </c>
      <c r="I72" s="21" t="n">
        <f aca="false">SUM(I67:I71)</f>
        <v>162</v>
      </c>
      <c r="J72" s="21" t="n">
        <f aca="false">SUM(J67:J71)</f>
        <v>162</v>
      </c>
      <c r="K72" s="21" t="n">
        <f aca="false">SUM(K67:K71)</f>
        <v>162</v>
      </c>
      <c r="L72" s="21" t="n">
        <f aca="false">SUM(L67:L71)</f>
        <v>162</v>
      </c>
      <c r="M72" s="21" t="n">
        <f aca="false">SUM(M67:M71)</f>
        <v>162</v>
      </c>
      <c r="N72" s="21" t="n">
        <f aca="false">SUM(N67:N71)</f>
        <v>162</v>
      </c>
      <c r="O72" s="21" t="n">
        <f aca="false">SUM(O67:O71)</f>
        <v>1242</v>
      </c>
      <c r="P72" s="21"/>
    </row>
    <row r="73" customFormat="false" ht="3.95" hidden="false" customHeight="true" outlineLevel="0" collapsed="false"/>
    <row r="74" customFormat="false" ht="12.75" hidden="false" customHeight="false" outlineLevel="0" collapsed="false">
      <c r="A74" s="22" t="s">
        <v>30</v>
      </c>
      <c r="C74" s="21"/>
      <c r="D74" s="21" t="n">
        <f aca="false">D72-C72</f>
        <v>0</v>
      </c>
      <c r="E74" s="21" t="n">
        <f aca="false">E72-D72</f>
        <v>0</v>
      </c>
      <c r="F74" s="21" t="n">
        <f aca="false">F72-E72</f>
        <v>0</v>
      </c>
      <c r="G74" s="21" t="n">
        <f aca="false">G72-F72</f>
        <v>0</v>
      </c>
      <c r="H74" s="21" t="n">
        <f aca="false">H72-G72</f>
        <v>0</v>
      </c>
      <c r="I74" s="21" t="n">
        <f aca="false">I72-H72</f>
        <v>162</v>
      </c>
      <c r="J74" s="21" t="n">
        <f aca="false">J72-I72</f>
        <v>0</v>
      </c>
      <c r="K74" s="21" t="n">
        <f aca="false">K72-J72</f>
        <v>0</v>
      </c>
      <c r="L74" s="21" t="n">
        <f aca="false">L72-K72</f>
        <v>0</v>
      </c>
      <c r="M74" s="21" t="n">
        <f aca="false">M72-L72</f>
        <v>0</v>
      </c>
      <c r="N74" s="21" t="n">
        <f aca="false">N72-M72</f>
        <v>0</v>
      </c>
      <c r="O74" s="21" t="n">
        <f aca="false">O72-N72</f>
        <v>1080</v>
      </c>
      <c r="P74" s="21" t="n">
        <f aca="false">SUM(D74:O74)</f>
        <v>1242</v>
      </c>
      <c r="Q74" s="21" t="n">
        <f aca="false">SUM(Q68:Q71)</f>
        <v>162</v>
      </c>
      <c r="R74" s="21" t="n">
        <f aca="false">P74-Q74</f>
        <v>1080</v>
      </c>
    </row>
    <row r="75" customFormat="false" ht="8.1" hidden="false" customHeight="true" outlineLevel="0" collapsed="false"/>
    <row r="77" customFormat="false" ht="12.75" hidden="false" customHeight="false" outlineLevel="0" collapsed="false">
      <c r="A77" s="20" t="s">
        <v>58</v>
      </c>
      <c r="C77" s="21"/>
      <c r="D77" s="21" t="n">
        <f aca="false">C97</f>
        <v>8713</v>
      </c>
      <c r="E77" s="21" t="n">
        <f aca="false">D97</f>
        <v>9693</v>
      </c>
      <c r="F77" s="21" t="n">
        <f aca="false">E97</f>
        <v>10458</v>
      </c>
      <c r="G77" s="21" t="n">
        <f aca="false">F97</f>
        <v>8886</v>
      </c>
      <c r="H77" s="21" t="n">
        <f aca="false">G97</f>
        <v>9318</v>
      </c>
      <c r="I77" s="21" t="n">
        <f aca="false">H97</f>
        <v>8355</v>
      </c>
      <c r="J77" s="21" t="n">
        <f aca="false">I97</f>
        <v>8132</v>
      </c>
      <c r="K77" s="21" t="n">
        <f aca="false">J97</f>
        <v>8534</v>
      </c>
      <c r="L77" s="21" t="n">
        <f aca="false">K97</f>
        <v>7977</v>
      </c>
      <c r="M77" s="21" t="n">
        <f aca="false">L97</f>
        <v>10360</v>
      </c>
      <c r="N77" s="21" t="n">
        <f aca="false">M97</f>
        <v>10567</v>
      </c>
      <c r="O77" s="21" t="n">
        <f aca="false">N97</f>
        <v>10061</v>
      </c>
      <c r="P77" s="21"/>
      <c r="U77" s="29" t="s">
        <v>59</v>
      </c>
    </row>
    <row r="78" customFormat="false" ht="12.75" hidden="false" customHeight="false" outlineLevel="0" collapsed="false">
      <c r="A78" s="22" t="s">
        <v>60</v>
      </c>
      <c r="B78" s="27" t="s">
        <v>34</v>
      </c>
      <c r="C78" s="25" t="n">
        <v>0</v>
      </c>
      <c r="D78" s="21" t="n">
        <f aca="false">-[1]Source!D49</f>
        <v>-0</v>
      </c>
      <c r="E78" s="21" t="n">
        <f aca="false">-[1]Source!E49</f>
        <v>-0</v>
      </c>
      <c r="F78" s="21" t="n">
        <f aca="false">-[1]Source!F49</f>
        <v>-0</v>
      </c>
      <c r="G78" s="21" t="n">
        <f aca="false">-[1]Source!G49</f>
        <v>-0</v>
      </c>
      <c r="H78" s="21" t="n">
        <f aca="false">-[1]Source!H49</f>
        <v>-0</v>
      </c>
      <c r="I78" s="21" t="n">
        <f aca="false">-[1]Source!I49</f>
        <v>-0</v>
      </c>
      <c r="J78" s="21" t="n">
        <f aca="false">-[1]Source!J49</f>
        <v>-0</v>
      </c>
      <c r="K78" s="21" t="n">
        <f aca="false">-[1]Source!K49</f>
        <v>-0</v>
      </c>
      <c r="L78" s="21" t="n">
        <f aca="false">-[1]Source!L49</f>
        <v>2737</v>
      </c>
      <c r="M78" s="21" t="n">
        <f aca="false">-[1]Source!M49</f>
        <v>-0</v>
      </c>
      <c r="N78" s="21" t="n">
        <f aca="false">-[1]Source!N49</f>
        <v>-0</v>
      </c>
      <c r="O78" s="21" t="n">
        <f aca="false">-[1]Source!O49</f>
        <v>-0</v>
      </c>
      <c r="P78" s="21" t="n">
        <f aca="false">SUM(D78:O78)</f>
        <v>2737</v>
      </c>
      <c r="Q78" s="25" t="n">
        <f aca="false">SUM(D78:J78)</f>
        <v>0</v>
      </c>
      <c r="R78" s="21" t="n">
        <f aca="false">P78-Q78</f>
        <v>2737</v>
      </c>
      <c r="T78" s="25" t="n">
        <f aca="false">SUM(C78:J78)</f>
        <v>0</v>
      </c>
      <c r="U78" s="21"/>
    </row>
    <row r="79" customFormat="false" ht="12.75" hidden="false" customHeight="false" outlineLevel="0" collapsed="false">
      <c r="A79" s="22" t="s">
        <v>61</v>
      </c>
      <c r="B79" s="27" t="s">
        <v>34</v>
      </c>
      <c r="C79" s="25" t="n">
        <v>2186</v>
      </c>
      <c r="D79" s="21" t="n">
        <f aca="false">-[1]Source!D33</f>
        <v>-243</v>
      </c>
      <c r="E79" s="30" t="n">
        <f aca="false">-[1]Source!E33+1</f>
        <v>-242</v>
      </c>
      <c r="F79" s="30" t="n">
        <f aca="false">-[1]Source!F33-1</f>
        <v>-1701</v>
      </c>
      <c r="G79" s="21" t="n">
        <f aca="false">-[1]Source!G33</f>
        <v>-0</v>
      </c>
      <c r="H79" s="21" t="n">
        <f aca="false">-[1]Source!H33</f>
        <v>-0</v>
      </c>
      <c r="I79" s="21" t="n">
        <f aca="false">-[1]Source!I33</f>
        <v>-0</v>
      </c>
      <c r="J79" s="21" t="n">
        <f aca="false">-[1]Source!J33</f>
        <v>-0</v>
      </c>
      <c r="K79" s="21" t="n">
        <f aca="false">-[1]Source!K33</f>
        <v>-0</v>
      </c>
      <c r="L79" s="21" t="n">
        <f aca="false">-[1]Source!L33</f>
        <v>-0</v>
      </c>
      <c r="M79" s="21" t="n">
        <f aca="false">-[1]Source!M33</f>
        <v>-228</v>
      </c>
      <c r="N79" s="21" t="n">
        <f aca="false">-[1]Source!N33</f>
        <v>-228</v>
      </c>
      <c r="O79" s="21" t="n">
        <f aca="false">-[1]Source!O33</f>
        <v>-228</v>
      </c>
      <c r="P79" s="21" t="n">
        <f aca="false">SUM(D79:O79)</f>
        <v>-2870</v>
      </c>
      <c r="Q79" s="25" t="n">
        <f aca="false">SUM(D79:J79)</f>
        <v>-2186</v>
      </c>
      <c r="R79" s="21" t="n">
        <f aca="false">P79-Q79</f>
        <v>-684</v>
      </c>
      <c r="T79" s="25" t="n">
        <f aca="false">SUM(C79:J79)</f>
        <v>0</v>
      </c>
      <c r="U79" s="21" t="n">
        <f aca="false">SUM(T78:T79)</f>
        <v>0</v>
      </c>
    </row>
    <row r="80" customFormat="false" ht="12.75" hidden="false" customHeight="false" outlineLevel="0" collapsed="false">
      <c r="A80" s="22" t="s">
        <v>62</v>
      </c>
      <c r="B80" s="27" t="s">
        <v>34</v>
      </c>
      <c r="C80" s="25" t="n">
        <v>-63</v>
      </c>
      <c r="D80" s="21" t="n">
        <f aca="false">[1]Source!D26+[1]Source!D16+[1]Source!D28+[1]Source!D17</f>
        <v>0</v>
      </c>
      <c r="E80" s="21" t="n">
        <f aca="false">[1]Source!E26+[1]Source!E16+[1]Source!E28+[1]Source!E17</f>
        <v>0</v>
      </c>
      <c r="F80" s="21" t="n">
        <f aca="false">[1]Source!F26+[1]Source!F16+[1]Source!F28+[1]Source!F17</f>
        <v>-1</v>
      </c>
      <c r="G80" s="21" t="n">
        <f aca="false">[1]Source!G26+[1]Source!G16+[1]Source!G28+[1]Source!G17</f>
        <v>-1</v>
      </c>
      <c r="H80" s="21" t="n">
        <f aca="false">[1]Source!H26+[1]Source!H16+[1]Source!H28+[1]Source!H17</f>
        <v>0</v>
      </c>
      <c r="I80" s="21" t="n">
        <f aca="false">[1]Source!I26+[1]Source!I16+[1]Source!I28+[1]Source!I17</f>
        <v>-1</v>
      </c>
      <c r="J80" s="30" t="n">
        <f aca="false">[1]Source!J26+[1]Source!J16+[1]Source!J28+[1]Source!J17-1</f>
        <v>-1</v>
      </c>
      <c r="K80" s="21" t="n">
        <f aca="false">[1]Source!K26+[1]Source!K16+[1]Source!K28+[1]Source!K17</f>
        <v>-1</v>
      </c>
      <c r="L80" s="21" t="n">
        <f aca="false">[1]Source!L26+[1]Source!L16+[1]Source!L28+[1]Source!L17</f>
        <v>0</v>
      </c>
      <c r="M80" s="31" t="n">
        <f aca="false">[1]Source!M26+[1]Source!M16+[1]Source!M28+[1]Source!M17</f>
        <v>-1</v>
      </c>
      <c r="N80" s="21" t="n">
        <f aca="false">[1]Source!N26+[1]Source!N16+[1]Source!N28+[1]Source!N17</f>
        <v>0</v>
      </c>
      <c r="O80" s="21" t="n">
        <f aca="false">[1]Source!O26+[1]Source!O16+[1]Source!O28+[1]Source!O17</f>
        <v>0</v>
      </c>
      <c r="P80" s="21" t="n">
        <f aca="false">SUM(D80:O80)</f>
        <v>-6</v>
      </c>
      <c r="Q80" s="25" t="n">
        <f aca="false">SUM(D80:J80)</f>
        <v>-4</v>
      </c>
      <c r="R80" s="21" t="n">
        <f aca="false">P80-Q80</f>
        <v>-2</v>
      </c>
      <c r="T80" s="25" t="n">
        <f aca="false">SUM(C80:J80)</f>
        <v>-67</v>
      </c>
      <c r="U80" s="21" t="n">
        <f aca="false">SUM(T80)</f>
        <v>-67</v>
      </c>
    </row>
    <row r="81" customFormat="false" ht="12.75" hidden="false" customHeight="false" outlineLevel="0" collapsed="false">
      <c r="A81" s="22" t="s">
        <v>63</v>
      </c>
      <c r="B81" s="27" t="s">
        <v>34</v>
      </c>
      <c r="C81" s="25" t="n">
        <v>101</v>
      </c>
      <c r="D81" s="30" t="n">
        <f aca="false">[1]Source!D63+[1]Source!D64+[1]Source!D67-D211-103</f>
        <v>-105</v>
      </c>
      <c r="E81" s="30" t="n">
        <f aca="false">[1]Source!E63+[1]Source!E64+[1]Source!E67-E211+1</f>
        <v>-2</v>
      </c>
      <c r="F81" s="32" t="n">
        <f aca="false">[1]Source!F63+[1]Source!F64+[1]Source!F67-F211</f>
        <v>-3</v>
      </c>
      <c r="G81" s="32" t="n">
        <f aca="false">[1]Source!G63+[1]Source!G64+[1]Source!G67-G211</f>
        <v>-2</v>
      </c>
      <c r="H81" s="32" t="n">
        <f aca="false">[1]Source!H63+[1]Source!H64+[1]Source!H67-H211</f>
        <v>-3</v>
      </c>
      <c r="I81" s="32" t="n">
        <f aca="false">[1]Source!I63+[1]Source!I64+[1]Source!I67-I211</f>
        <v>-2</v>
      </c>
      <c r="J81" s="32" t="n">
        <f aca="false">[1]Source!J63+[1]Source!J64+[1]Source!J67-J211</f>
        <v>-3</v>
      </c>
      <c r="K81" s="32" t="n">
        <f aca="false">[1]Source!K63+[1]Source!K64+[1]Source!K67-K211</f>
        <v>-2</v>
      </c>
      <c r="L81" s="32" t="n">
        <f aca="false">[1]Source!L63+[1]Source!L64+[1]Source!L67-L211</f>
        <v>-2</v>
      </c>
      <c r="M81" s="33" t="n">
        <f aca="false">[1]Source!M63+[1]Source!M64+[1]Source!M67-M211+23</f>
        <v>23</v>
      </c>
      <c r="N81" s="32" t="n">
        <f aca="false">[1]Source!N63+[1]Source!N64+[1]Source!N67-N211</f>
        <v>0</v>
      </c>
      <c r="O81" s="32" t="n">
        <f aca="false">[1]Source!O63+[1]Source!O64+[1]Source!O67-O211</f>
        <v>0</v>
      </c>
      <c r="P81" s="21" t="n">
        <f aca="false">SUM(D81:O81)</f>
        <v>-101</v>
      </c>
      <c r="Q81" s="25" t="n">
        <f aca="false">SUM(D81:J81)</f>
        <v>-120</v>
      </c>
      <c r="R81" s="21" t="n">
        <f aca="false">P81-Q81</f>
        <v>19</v>
      </c>
      <c r="T81" s="25" t="n">
        <f aca="false">SUM(C81:J81)</f>
        <v>-19</v>
      </c>
      <c r="U81" s="21" t="n">
        <f aca="false">SUM(T81)</f>
        <v>-19</v>
      </c>
    </row>
    <row r="82" customFormat="false" ht="12.75" hidden="false" customHeight="false" outlineLevel="0" collapsed="false">
      <c r="A82" s="22" t="s">
        <v>64</v>
      </c>
      <c r="B82" s="27" t="s">
        <v>34</v>
      </c>
      <c r="C82" s="25" t="n">
        <v>-151</v>
      </c>
      <c r="D82" s="32" t="n">
        <f aca="false">[1]Source!D68+[1]Source!D18-D214</f>
        <v>-71</v>
      </c>
      <c r="E82" s="32" t="n">
        <f aca="false">[1]Source!E68+[1]Source!E18-E214</f>
        <v>-72</v>
      </c>
      <c r="F82" s="32" t="n">
        <f aca="false">[1]Source!F68+[1]Source!F18-F214</f>
        <v>-73</v>
      </c>
      <c r="G82" s="30" t="n">
        <f aca="false">[1]Source!G68+[1]Source!G18-G214-1</f>
        <v>-74</v>
      </c>
      <c r="H82" s="30" t="n">
        <f aca="false">[1]Source!H68+[1]Source!H18-H214+1</f>
        <v>-70</v>
      </c>
      <c r="I82" s="30" t="n">
        <f aca="false">[1]Source!I68+[1]Source!I18-I214-1</f>
        <v>-71</v>
      </c>
      <c r="J82" s="32" t="n">
        <f aca="false">[1]Source!J68+[1]Source!J18-J214</f>
        <v>-71</v>
      </c>
      <c r="K82" s="32" t="n">
        <f aca="false">[1]Source!K68+[1]Source!K18-K214</f>
        <v>-64</v>
      </c>
      <c r="L82" s="32" t="n">
        <f aca="false">[1]Source!L68+[1]Source!L18-L214</f>
        <v>-62</v>
      </c>
      <c r="M82" s="33" t="n">
        <f aca="false">[1]Source!M68+[1]Source!M18-M214+779</f>
        <v>779</v>
      </c>
      <c r="N82" s="32" t="n">
        <f aca="false">[1]Source!N68+[1]Source!N18-N214</f>
        <v>0</v>
      </c>
      <c r="O82" s="32" t="n">
        <f aca="false">[1]Source!O68+[1]Source!O18-O214</f>
        <v>0</v>
      </c>
      <c r="P82" s="21" t="n">
        <f aca="false">SUM(D82:O82)</f>
        <v>151</v>
      </c>
      <c r="Q82" s="25" t="n">
        <f aca="false">SUM(D82:J82)</f>
        <v>-502</v>
      </c>
      <c r="R82" s="21" t="n">
        <f aca="false">P82-Q82</f>
        <v>653</v>
      </c>
      <c r="T82" s="25" t="n">
        <f aca="false">SUM(C82:J82)</f>
        <v>-653</v>
      </c>
      <c r="U82" s="21" t="n">
        <f aca="false">SUM(T82)</f>
        <v>-653</v>
      </c>
    </row>
    <row r="83" customFormat="false" ht="12.75" hidden="false" customHeight="false" outlineLevel="0" collapsed="false">
      <c r="A83" s="22" t="s">
        <v>65</v>
      </c>
      <c r="B83" s="27" t="s">
        <v>34</v>
      </c>
      <c r="C83" s="25" t="n">
        <v>-88</v>
      </c>
      <c r="D83" s="31" t="n">
        <f aca="false">[1]Source!D70</f>
        <v>0</v>
      </c>
      <c r="E83" s="31" t="n">
        <f aca="false">[1]Source!E70</f>
        <v>0</v>
      </c>
      <c r="F83" s="31" t="n">
        <f aca="false">[1]Source!F70</f>
        <v>0</v>
      </c>
      <c r="G83" s="31" t="n">
        <f aca="false">[1]Source!G70</f>
        <v>0</v>
      </c>
      <c r="H83" s="31" t="n">
        <f aca="false">[1]Source!H70</f>
        <v>0</v>
      </c>
      <c r="I83" s="31" t="n">
        <f aca="false">[1]Source!I70</f>
        <v>0</v>
      </c>
      <c r="J83" s="31" t="n">
        <f aca="false">[1]Source!J70</f>
        <v>0</v>
      </c>
      <c r="K83" s="31" t="n">
        <f aca="false">[1]Source!K70</f>
        <v>0</v>
      </c>
      <c r="L83" s="31" t="n">
        <f aca="false">[1]Source!L70</f>
        <v>0</v>
      </c>
      <c r="M83" s="30" t="n">
        <f aca="false">[1]Source!M70-89</f>
        <v>-89</v>
      </c>
      <c r="N83" s="31" t="n">
        <f aca="false">[1]Source!N70</f>
        <v>0</v>
      </c>
      <c r="O83" s="31" t="n">
        <f aca="false">[1]Source!O70</f>
        <v>0</v>
      </c>
      <c r="P83" s="21" t="n">
        <f aca="false">SUM(D83:O83)</f>
        <v>-89</v>
      </c>
      <c r="Q83" s="25" t="n">
        <f aca="false">SUM(D83:J83)</f>
        <v>0</v>
      </c>
      <c r="R83" s="21" t="n">
        <f aca="false">P83-Q83</f>
        <v>-89</v>
      </c>
      <c r="T83" s="25" t="n">
        <f aca="false">SUM(C83:J83)</f>
        <v>-88</v>
      </c>
      <c r="U83" s="21" t="n">
        <f aca="false">SUM(T83)</f>
        <v>-88</v>
      </c>
    </row>
    <row r="84" customFormat="false" ht="12.75" hidden="false" customHeight="false" outlineLevel="0" collapsed="false">
      <c r="A84" s="22" t="s">
        <v>66</v>
      </c>
      <c r="B84" s="27" t="s">
        <v>34</v>
      </c>
      <c r="C84" s="25" t="n">
        <v>0</v>
      </c>
      <c r="D84" s="21" t="n">
        <f aca="false">[1]Source!D72</f>
        <v>0</v>
      </c>
      <c r="E84" s="21" t="n">
        <f aca="false">[1]Source!E72</f>
        <v>0</v>
      </c>
      <c r="F84" s="31" t="n">
        <f aca="false">[1]Source!F72</f>
        <v>0</v>
      </c>
      <c r="G84" s="31" t="n">
        <f aca="false">[1]Source!G72</f>
        <v>0</v>
      </c>
      <c r="H84" s="31" t="n">
        <f aca="false">[1]Source!H72</f>
        <v>0</v>
      </c>
      <c r="I84" s="31" t="n">
        <f aca="false">[1]Source!I72</f>
        <v>0</v>
      </c>
      <c r="J84" s="31" t="n">
        <f aca="false">[1]Source!J72</f>
        <v>0</v>
      </c>
      <c r="K84" s="31" t="n">
        <f aca="false">[1]Source!K72</f>
        <v>0</v>
      </c>
      <c r="L84" s="31" t="n">
        <f aca="false">[1]Source!L72</f>
        <v>0</v>
      </c>
      <c r="M84" s="31" t="n">
        <f aca="false">[1]Source!M72</f>
        <v>0</v>
      </c>
      <c r="N84" s="31" t="n">
        <f aca="false">[1]Source!N72</f>
        <v>0</v>
      </c>
      <c r="O84" s="31" t="n">
        <f aca="false">[1]Source!O72</f>
        <v>0</v>
      </c>
      <c r="P84" s="21" t="n">
        <f aca="false">SUM(D84:O84)</f>
        <v>0</v>
      </c>
      <c r="Q84" s="25" t="n">
        <f aca="false">SUM(D84:J84)</f>
        <v>0</v>
      </c>
      <c r="R84" s="21" t="n">
        <f aca="false">P84-Q84</f>
        <v>0</v>
      </c>
      <c r="T84" s="25" t="n">
        <f aca="false">SUM(C84:J84)</f>
        <v>0</v>
      </c>
      <c r="U84" s="21" t="n">
        <f aca="false">SUM(T84)</f>
        <v>0</v>
      </c>
    </row>
    <row r="85" customFormat="false" ht="12.75" hidden="false" customHeight="false" outlineLevel="0" collapsed="false">
      <c r="A85" s="22" t="s">
        <v>67</v>
      </c>
      <c r="B85" s="27"/>
      <c r="C85" s="25" t="n">
        <v>2616</v>
      </c>
      <c r="D85" s="25" t="n">
        <v>1</v>
      </c>
      <c r="E85" s="25" t="n">
        <v>1</v>
      </c>
      <c r="F85" s="25" t="n">
        <v>1</v>
      </c>
      <c r="G85" s="25" t="n">
        <v>1</v>
      </c>
      <c r="H85" s="25" t="n">
        <v>1</v>
      </c>
      <c r="I85" s="25" t="n">
        <v>1</v>
      </c>
      <c r="J85" s="25" t="n">
        <v>1025</v>
      </c>
      <c r="K85" s="25" t="n">
        <v>0</v>
      </c>
      <c r="L85" s="25" t="n">
        <v>0</v>
      </c>
      <c r="M85" s="25" t="n">
        <v>0</v>
      </c>
      <c r="N85" s="25" t="n">
        <v>0</v>
      </c>
      <c r="O85" s="25" t="n">
        <v>0</v>
      </c>
      <c r="P85" s="21" t="n">
        <f aca="false">SUM(D85:O85)</f>
        <v>1031</v>
      </c>
      <c r="Q85" s="25" t="n">
        <f aca="false">SUM(D85:J85)</f>
        <v>1031</v>
      </c>
      <c r="R85" s="21" t="n">
        <f aca="false">P85-Q85</f>
        <v>0</v>
      </c>
      <c r="T85" s="25" t="n">
        <f aca="false">SUM(C85:J85)</f>
        <v>3647</v>
      </c>
      <c r="U85" s="21" t="n">
        <f aca="false">SUM(T85)</f>
        <v>3647</v>
      </c>
    </row>
    <row r="86" customFormat="false" ht="12.75" hidden="false" customHeight="false" outlineLevel="0" collapsed="false">
      <c r="A86" s="22" t="s">
        <v>68</v>
      </c>
      <c r="B86" s="27"/>
      <c r="C86" s="25" t="n">
        <v>1519</v>
      </c>
      <c r="D86" s="25" t="n">
        <v>0</v>
      </c>
      <c r="E86" s="25" t="n">
        <v>1</v>
      </c>
      <c r="F86" s="25" t="n">
        <v>1</v>
      </c>
      <c r="G86" s="25" t="n">
        <v>1</v>
      </c>
      <c r="H86" s="25" t="n">
        <v>0</v>
      </c>
      <c r="I86" s="25" t="n">
        <v>1</v>
      </c>
      <c r="J86" s="25" t="n">
        <v>0</v>
      </c>
      <c r="K86" s="25" t="n">
        <v>0</v>
      </c>
      <c r="L86" s="25" t="n">
        <v>0</v>
      </c>
      <c r="M86" s="25" t="n">
        <v>0</v>
      </c>
      <c r="N86" s="25" t="n">
        <v>0</v>
      </c>
      <c r="O86" s="25" t="n">
        <v>0</v>
      </c>
      <c r="P86" s="21" t="n">
        <f aca="false">SUM(D86:O86)</f>
        <v>4</v>
      </c>
      <c r="Q86" s="25" t="n">
        <f aca="false">SUM(D86:J86)</f>
        <v>4</v>
      </c>
      <c r="R86" s="21" t="n">
        <f aca="false">P86-Q86</f>
        <v>0</v>
      </c>
      <c r="T86" s="25" t="n">
        <f aca="false">SUM(C86:J86)</f>
        <v>1523</v>
      </c>
      <c r="U86" s="21" t="n">
        <f aca="false">SUM(T86)</f>
        <v>1523</v>
      </c>
    </row>
    <row r="87" customFormat="false" ht="12.75" hidden="false" customHeight="false" outlineLevel="0" collapsed="false">
      <c r="A87" s="22" t="s">
        <v>69</v>
      </c>
      <c r="B87" s="27"/>
      <c r="C87" s="25" t="n">
        <v>377</v>
      </c>
      <c r="D87" s="25" t="n">
        <v>0</v>
      </c>
      <c r="E87" s="25" t="n">
        <v>0</v>
      </c>
      <c r="F87" s="25" t="n">
        <v>0</v>
      </c>
      <c r="G87" s="25" t="n">
        <v>0</v>
      </c>
      <c r="H87" s="25" t="n">
        <v>1</v>
      </c>
      <c r="I87" s="25" t="n">
        <v>0</v>
      </c>
      <c r="J87" s="25" t="n">
        <v>0</v>
      </c>
      <c r="K87" s="25" t="n">
        <v>0</v>
      </c>
      <c r="L87" s="25" t="n">
        <v>0</v>
      </c>
      <c r="M87" s="25" t="n">
        <v>0</v>
      </c>
      <c r="N87" s="25" t="n">
        <v>0</v>
      </c>
      <c r="O87" s="25" t="n">
        <v>0</v>
      </c>
      <c r="P87" s="21" t="n">
        <f aca="false">SUM(D87:O87)</f>
        <v>1</v>
      </c>
      <c r="Q87" s="25" t="n">
        <f aca="false">SUM(D87:J87)</f>
        <v>1</v>
      </c>
      <c r="R87" s="21" t="n">
        <f aca="false">P87-Q87</f>
        <v>0</v>
      </c>
      <c r="T87" s="25" t="n">
        <f aca="false">SUM(C87:J87)</f>
        <v>378</v>
      </c>
      <c r="U87" s="21" t="n">
        <f aca="false">SUM(T87)</f>
        <v>378</v>
      </c>
    </row>
    <row r="88" customFormat="false" ht="12.75" hidden="false" customHeight="false" outlineLevel="0" collapsed="false">
      <c r="A88" s="22" t="s">
        <v>70</v>
      </c>
      <c r="B88" s="27"/>
      <c r="C88" s="25" t="n">
        <v>335</v>
      </c>
      <c r="D88" s="25" t="n">
        <v>0</v>
      </c>
      <c r="E88" s="25" t="n">
        <v>0</v>
      </c>
      <c r="F88" s="25" t="n">
        <v>0</v>
      </c>
      <c r="G88" s="25" t="n">
        <v>1</v>
      </c>
      <c r="H88" s="25" t="n">
        <v>0</v>
      </c>
      <c r="I88" s="25" t="n">
        <v>0</v>
      </c>
      <c r="J88" s="25" t="n">
        <v>0</v>
      </c>
      <c r="K88" s="25" t="n">
        <v>0</v>
      </c>
      <c r="L88" s="25" t="n">
        <v>0</v>
      </c>
      <c r="M88" s="25" t="n">
        <v>0</v>
      </c>
      <c r="N88" s="25" t="n">
        <v>0</v>
      </c>
      <c r="O88" s="25" t="n">
        <v>0</v>
      </c>
      <c r="P88" s="21" t="n">
        <f aca="false">SUM(D88:O88)</f>
        <v>1</v>
      </c>
      <c r="Q88" s="25" t="n">
        <f aca="false">SUM(D88:J88)</f>
        <v>1</v>
      </c>
      <c r="R88" s="21" t="n">
        <f aca="false">P88-Q88</f>
        <v>0</v>
      </c>
      <c r="T88" s="25" t="n">
        <f aca="false">SUM(C88:J88)</f>
        <v>336</v>
      </c>
      <c r="U88" s="21" t="n">
        <f aca="false">SUM(T88)</f>
        <v>336</v>
      </c>
    </row>
    <row r="89" customFormat="false" ht="12.75" hidden="false" customHeight="false" outlineLevel="0" collapsed="false">
      <c r="A89" s="22" t="s">
        <v>71</v>
      </c>
      <c r="B89" s="27" t="s">
        <v>34</v>
      </c>
      <c r="C89" s="25" t="n">
        <v>0</v>
      </c>
      <c r="D89" s="21" t="n">
        <f aca="false">[1]Source!D23</f>
        <v>0</v>
      </c>
      <c r="E89" s="21" t="n">
        <f aca="false">[1]Source!E23</f>
        <v>0</v>
      </c>
      <c r="F89" s="31" t="n">
        <f aca="false">[1]Source!F23</f>
        <v>0</v>
      </c>
      <c r="G89" s="31" t="n">
        <f aca="false">[1]Source!G23</f>
        <v>0</v>
      </c>
      <c r="H89" s="21" t="n">
        <f aca="false">[1]Source!H23</f>
        <v>0</v>
      </c>
      <c r="I89" s="21" t="n">
        <f aca="false">[1]Source!I23</f>
        <v>0</v>
      </c>
      <c r="J89" s="21" t="n">
        <f aca="false">[1]Source!J23</f>
        <v>0</v>
      </c>
      <c r="K89" s="21" t="n">
        <f aca="false">[1]Source!K23</f>
        <v>0</v>
      </c>
      <c r="L89" s="21" t="n">
        <f aca="false">[1]Source!L23</f>
        <v>0</v>
      </c>
      <c r="M89" s="21" t="n">
        <f aca="false">[1]Source!M23</f>
        <v>0</v>
      </c>
      <c r="N89" s="21" t="n">
        <f aca="false">[1]Source!N23</f>
        <v>0</v>
      </c>
      <c r="O89" s="21" t="n">
        <f aca="false">[1]Source!O23</f>
        <v>0</v>
      </c>
      <c r="P89" s="21" t="n">
        <f aca="false">SUM(D89:O89)</f>
        <v>0</v>
      </c>
      <c r="Q89" s="25" t="n">
        <f aca="false">SUM(D89:J89)</f>
        <v>0</v>
      </c>
      <c r="R89" s="21" t="n">
        <f aca="false">P89-Q89</f>
        <v>0</v>
      </c>
      <c r="T89" s="25" t="n">
        <f aca="false">SUM(C89:J89)</f>
        <v>0</v>
      </c>
      <c r="U89" s="21" t="n">
        <f aca="false">SUM(T89)</f>
        <v>0</v>
      </c>
    </row>
    <row r="90" customFormat="false" ht="12.75" hidden="false" customHeight="false" outlineLevel="0" collapsed="false">
      <c r="A90" s="22" t="s">
        <v>72</v>
      </c>
      <c r="B90" s="27"/>
      <c r="C90" s="25" t="n">
        <v>1035</v>
      </c>
      <c r="D90" s="25" t="n">
        <v>0</v>
      </c>
      <c r="E90" s="25" t="n">
        <v>0</v>
      </c>
      <c r="F90" s="25" t="n">
        <v>0</v>
      </c>
      <c r="G90" s="25" t="n">
        <v>0</v>
      </c>
      <c r="H90" s="25" t="n">
        <v>0</v>
      </c>
      <c r="I90" s="25" t="n">
        <v>0</v>
      </c>
      <c r="J90" s="25" t="n">
        <v>0</v>
      </c>
      <c r="K90" s="25" t="n">
        <v>0</v>
      </c>
      <c r="L90" s="25" t="n">
        <v>0</v>
      </c>
      <c r="M90" s="25" t="n">
        <v>0</v>
      </c>
      <c r="N90" s="25" t="n">
        <v>0</v>
      </c>
      <c r="O90" s="25" t="n">
        <v>0</v>
      </c>
      <c r="P90" s="21" t="n">
        <f aca="false">SUM(D90:O90)</f>
        <v>0</v>
      </c>
      <c r="Q90" s="25" t="n">
        <f aca="false">SUM(D90:J90)</f>
        <v>0</v>
      </c>
      <c r="R90" s="21" t="n">
        <f aca="false">P90-Q90</f>
        <v>0</v>
      </c>
      <c r="T90" s="25" t="n">
        <f aca="false">SUM(C90:J90)</f>
        <v>1035</v>
      </c>
      <c r="U90" s="21" t="n">
        <f aca="false">SUM(T90)</f>
        <v>1035</v>
      </c>
    </row>
    <row r="91" customFormat="false" ht="12.75" hidden="false" customHeight="false" outlineLevel="0" collapsed="false">
      <c r="A91" s="22" t="s">
        <v>73</v>
      </c>
      <c r="B91" s="27"/>
      <c r="C91" s="25" t="n">
        <v>467</v>
      </c>
      <c r="D91" s="25" t="n">
        <v>252</v>
      </c>
      <c r="E91" s="25" t="n">
        <v>1</v>
      </c>
      <c r="F91" s="25" t="n">
        <v>0</v>
      </c>
      <c r="G91" s="25" t="n">
        <v>0</v>
      </c>
      <c r="H91" s="25" t="n">
        <v>1</v>
      </c>
      <c r="I91" s="25" t="n">
        <v>0</v>
      </c>
      <c r="J91" s="25" t="n">
        <v>0</v>
      </c>
      <c r="K91" s="25" t="n">
        <v>0</v>
      </c>
      <c r="L91" s="25" t="n">
        <v>0</v>
      </c>
      <c r="M91" s="25" t="n">
        <v>0</v>
      </c>
      <c r="N91" s="25" t="n">
        <v>0</v>
      </c>
      <c r="O91" s="25" t="n">
        <v>0</v>
      </c>
      <c r="P91" s="21" t="n">
        <f aca="false">SUM(D91:O91)</f>
        <v>254</v>
      </c>
      <c r="Q91" s="25" t="n">
        <f aca="false">SUM(D91:J91)</f>
        <v>254</v>
      </c>
      <c r="R91" s="21" t="n">
        <f aca="false">P91-Q91</f>
        <v>0</v>
      </c>
      <c r="T91" s="25" t="n">
        <f aca="false">SUM(C91:J91)</f>
        <v>721</v>
      </c>
      <c r="U91" s="21" t="n">
        <f aca="false">SUM(T91)</f>
        <v>721</v>
      </c>
    </row>
    <row r="92" customFormat="false" ht="12.75" hidden="false" customHeight="false" outlineLevel="0" collapsed="false">
      <c r="A92" s="22" t="s">
        <v>74</v>
      </c>
      <c r="B92" s="27" t="s">
        <v>34</v>
      </c>
      <c r="C92" s="25" t="n">
        <v>379</v>
      </c>
      <c r="D92" s="30" t="n">
        <f aca="false">[1]Source!D21+2</f>
        <v>1146</v>
      </c>
      <c r="E92" s="21" t="n">
        <f aca="false">[1]Source!E21</f>
        <v>1078</v>
      </c>
      <c r="F92" s="21" t="n">
        <f aca="false">[1]Source!F21</f>
        <v>204</v>
      </c>
      <c r="G92" s="21" t="n">
        <f aca="false">[1]Source!G21</f>
        <v>506</v>
      </c>
      <c r="H92" s="21" t="n">
        <f aca="false">[1]Source!H21</f>
        <v>-893</v>
      </c>
      <c r="I92" s="21" t="n">
        <f aca="false">[1]Source!I21</f>
        <v>-151</v>
      </c>
      <c r="J92" s="30" t="n">
        <f aca="false">[1]Source!J21+206-1</f>
        <v>-548</v>
      </c>
      <c r="K92" s="30" t="n">
        <f aca="false">[1]Source!K21-206</f>
        <v>-490</v>
      </c>
      <c r="L92" s="21" t="n">
        <f aca="false">[1]Source!L21</f>
        <v>-290</v>
      </c>
      <c r="M92" s="21" t="n">
        <f aca="false">[1]Source!M21</f>
        <v>-277</v>
      </c>
      <c r="N92" s="21" t="n">
        <f aca="false">[1]Source!N21</f>
        <v>-278</v>
      </c>
      <c r="O92" s="21" t="n">
        <f aca="false">[1]Source!O21</f>
        <v>454</v>
      </c>
      <c r="P92" s="21" t="n">
        <f aca="false">SUM(D92:O92)</f>
        <v>461</v>
      </c>
      <c r="Q92" s="25" t="n">
        <f aca="false">SUM(D92:J92)</f>
        <v>1342</v>
      </c>
      <c r="R92" s="21" t="n">
        <f aca="false">P92-Q92</f>
        <v>-881</v>
      </c>
      <c r="T92" s="25" t="n">
        <f aca="false">SUM(C92:J92)</f>
        <v>1721</v>
      </c>
      <c r="U92" s="21" t="n">
        <f aca="false">SUM(T92)</f>
        <v>1721</v>
      </c>
    </row>
    <row r="93" customFormat="false" ht="12.75" hidden="false" customHeight="false" outlineLevel="0" collapsed="false">
      <c r="A93" s="22" t="s">
        <v>75</v>
      </c>
      <c r="B93" s="27"/>
      <c r="C93" s="25" t="n">
        <v>0</v>
      </c>
      <c r="D93" s="25" t="n">
        <v>0</v>
      </c>
      <c r="E93" s="25" t="n">
        <v>0</v>
      </c>
      <c r="F93" s="25" t="n">
        <v>0</v>
      </c>
      <c r="G93" s="25" t="n">
        <v>0</v>
      </c>
      <c r="H93" s="25" t="n">
        <v>0</v>
      </c>
      <c r="I93" s="25" t="n">
        <v>0</v>
      </c>
      <c r="J93" s="25" t="n">
        <v>0</v>
      </c>
      <c r="K93" s="25" t="n">
        <v>0</v>
      </c>
      <c r="L93" s="25" t="n">
        <v>0</v>
      </c>
      <c r="M93" s="25" t="n">
        <v>0</v>
      </c>
      <c r="N93" s="25" t="n">
        <v>0</v>
      </c>
      <c r="O93" s="25" t="n">
        <v>0</v>
      </c>
      <c r="P93" s="21" t="n">
        <f aca="false">SUM(D93:O93)</f>
        <v>0</v>
      </c>
      <c r="Q93" s="25" t="n">
        <f aca="false">SUM(D93:J93)</f>
        <v>0</v>
      </c>
      <c r="R93" s="21" t="n">
        <f aca="false">P93-Q93</f>
        <v>0</v>
      </c>
      <c r="T93" s="25" t="n">
        <f aca="false">SUM(C93:J93)</f>
        <v>0</v>
      </c>
      <c r="U93" s="21" t="n">
        <f aca="false">SUM(T93)</f>
        <v>0</v>
      </c>
    </row>
    <row r="94" customFormat="false" ht="12.75" hidden="false" customHeight="false" outlineLevel="0" collapsed="false">
      <c r="A94" s="22" t="s">
        <v>41</v>
      </c>
      <c r="B94" s="27"/>
      <c r="C94" s="25" t="n">
        <v>0</v>
      </c>
      <c r="D94" s="25" t="n">
        <v>0</v>
      </c>
      <c r="E94" s="25" t="n">
        <v>0</v>
      </c>
      <c r="F94" s="25" t="n">
        <v>0</v>
      </c>
      <c r="G94" s="25" t="n">
        <v>0</v>
      </c>
      <c r="H94" s="25" t="n">
        <v>0</v>
      </c>
      <c r="I94" s="25" t="n">
        <v>0</v>
      </c>
      <c r="J94" s="25" t="n">
        <v>0</v>
      </c>
      <c r="K94" s="25" t="n">
        <v>0</v>
      </c>
      <c r="L94" s="25" t="n">
        <v>0</v>
      </c>
      <c r="M94" s="25" t="n">
        <v>0</v>
      </c>
      <c r="N94" s="25" t="n">
        <v>0</v>
      </c>
      <c r="O94" s="25" t="n">
        <v>0</v>
      </c>
      <c r="P94" s="21" t="n">
        <f aca="false">SUM(D94:O94)</f>
        <v>0</v>
      </c>
      <c r="Q94" s="25" t="n">
        <f aca="false">SUM(D94:J94)</f>
        <v>0</v>
      </c>
      <c r="R94" s="21" t="n">
        <f aca="false">P94-Q94</f>
        <v>0</v>
      </c>
      <c r="T94" s="25" t="n">
        <f aca="false">SUM(C94:J94)</f>
        <v>0</v>
      </c>
      <c r="U94" s="21" t="n">
        <f aca="false">SUM(T94)</f>
        <v>0</v>
      </c>
    </row>
    <row r="95" customFormat="false" ht="12.75" hidden="false" customHeight="false" outlineLevel="0" collapsed="false">
      <c r="A95" s="22" t="s">
        <v>28</v>
      </c>
      <c r="C95" s="23" t="n">
        <v>0</v>
      </c>
      <c r="D95" s="23" t="n">
        <v>0</v>
      </c>
      <c r="E95" s="23" t="n">
        <v>0</v>
      </c>
      <c r="F95" s="23" t="n">
        <v>0</v>
      </c>
      <c r="G95" s="23" t="n">
        <v>0</v>
      </c>
      <c r="H95" s="23" t="n">
        <v>0</v>
      </c>
      <c r="I95" s="23" t="n">
        <v>0</v>
      </c>
      <c r="J95" s="23" t="n">
        <v>0</v>
      </c>
      <c r="K95" s="23" t="n">
        <v>0</v>
      </c>
      <c r="L95" s="23" t="n">
        <v>0</v>
      </c>
      <c r="M95" s="23" t="n">
        <v>0</v>
      </c>
      <c r="N95" s="23" t="n">
        <v>0</v>
      </c>
      <c r="O95" s="23" t="n">
        <v>0</v>
      </c>
      <c r="P95" s="24" t="n">
        <f aca="false">SUM(D95:O95)</f>
        <v>0</v>
      </c>
      <c r="Q95" s="23" t="n">
        <f aca="false">SUM(D95:J95)</f>
        <v>0</v>
      </c>
      <c r="R95" s="24" t="n">
        <f aca="false">P95-Q95</f>
        <v>0</v>
      </c>
      <c r="T95" s="23" t="n">
        <f aca="false">SUM(C95:J95)</f>
        <v>0</v>
      </c>
      <c r="U95" s="21" t="n">
        <f aca="false">SUM(T95)</f>
        <v>0</v>
      </c>
    </row>
    <row r="96" customFormat="false" ht="3.95" hidden="false" customHeight="true" outlineLevel="0" collapsed="false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customFormat="false" ht="12.75" hidden="false" customHeight="false" outlineLevel="0" collapsed="false">
      <c r="A97" s="20" t="s">
        <v>76</v>
      </c>
      <c r="C97" s="21" t="n">
        <f aca="false">SUM(C77:C95)</f>
        <v>8713</v>
      </c>
      <c r="D97" s="21" t="n">
        <f aca="false">SUM(D77:D95)</f>
        <v>9693</v>
      </c>
      <c r="E97" s="21" t="n">
        <f aca="false">SUM(E77:E95)</f>
        <v>10458</v>
      </c>
      <c r="F97" s="21" t="n">
        <f aca="false">SUM(F77:F95)</f>
        <v>8886</v>
      </c>
      <c r="G97" s="21" t="n">
        <f aca="false">SUM(G77:G95)</f>
        <v>9318</v>
      </c>
      <c r="H97" s="21" t="n">
        <f aca="false">SUM(H77:H95)</f>
        <v>8355</v>
      </c>
      <c r="I97" s="21" t="n">
        <f aca="false">SUM(I77:I95)</f>
        <v>8132</v>
      </c>
      <c r="J97" s="21" t="n">
        <f aca="false">SUM(J77:J95)</f>
        <v>8534</v>
      </c>
      <c r="K97" s="21" t="n">
        <f aca="false">SUM(K77:K95)</f>
        <v>7977</v>
      </c>
      <c r="L97" s="21" t="n">
        <f aca="false">SUM(L77:L95)</f>
        <v>10360</v>
      </c>
      <c r="M97" s="21" t="n">
        <f aca="false">SUM(M77:M95)</f>
        <v>10567</v>
      </c>
      <c r="N97" s="21" t="n">
        <f aca="false">SUM(N77:N95)</f>
        <v>10061</v>
      </c>
      <c r="O97" s="21" t="n">
        <f aca="false">SUM(O77:O95)</f>
        <v>10287</v>
      </c>
      <c r="P97" s="21"/>
    </row>
    <row r="98" customFormat="false" ht="3.95" hidden="false" customHeight="true" outlineLevel="0" collapsed="false"/>
    <row r="99" customFormat="false" ht="12.75" hidden="false" customHeight="false" outlineLevel="0" collapsed="false">
      <c r="A99" s="22" t="s">
        <v>30</v>
      </c>
      <c r="C99" s="21"/>
      <c r="D99" s="21" t="n">
        <f aca="false">D97-C97</f>
        <v>980</v>
      </c>
      <c r="E99" s="21" t="n">
        <f aca="false">E97-D97</f>
        <v>765</v>
      </c>
      <c r="F99" s="21" t="n">
        <f aca="false">F97-E97</f>
        <v>-1572</v>
      </c>
      <c r="G99" s="21" t="n">
        <f aca="false">G97-F97</f>
        <v>432</v>
      </c>
      <c r="H99" s="21" t="n">
        <f aca="false">H97-G97</f>
        <v>-963</v>
      </c>
      <c r="I99" s="21" t="n">
        <f aca="false">I97-H97</f>
        <v>-223</v>
      </c>
      <c r="J99" s="21" t="n">
        <f aca="false">J97-I97</f>
        <v>402</v>
      </c>
      <c r="K99" s="21" t="n">
        <f aca="false">K97-J97</f>
        <v>-557</v>
      </c>
      <c r="L99" s="21" t="n">
        <f aca="false">L97-K97</f>
        <v>2383</v>
      </c>
      <c r="M99" s="21" t="n">
        <f aca="false">M97-L97</f>
        <v>207</v>
      </c>
      <c r="N99" s="21" t="n">
        <f aca="false">N97-M97</f>
        <v>-506</v>
      </c>
      <c r="O99" s="21" t="n">
        <f aca="false">O97-N97</f>
        <v>226</v>
      </c>
      <c r="P99" s="21" t="n">
        <f aca="false">SUM(D99:O99)</f>
        <v>1574</v>
      </c>
      <c r="Q99" s="21" t="n">
        <f aca="false">SUM(Q78:Q96)</f>
        <v>-179</v>
      </c>
      <c r="R99" s="21" t="n">
        <f aca="false">P99-Q99</f>
        <v>1753</v>
      </c>
    </row>
    <row r="101" customFormat="false" ht="12.75" hidden="false" customHeight="false" outlineLevel="0" collapsed="false">
      <c r="A101" s="20" t="s">
        <v>77</v>
      </c>
      <c r="D101" s="21" t="n">
        <f aca="false">C111</f>
        <v>1119</v>
      </c>
      <c r="E101" s="21" t="n">
        <f aca="false">D111</f>
        <v>637</v>
      </c>
      <c r="F101" s="21" t="n">
        <f aca="false">E111</f>
        <v>5272</v>
      </c>
      <c r="G101" s="21" t="n">
        <f aca="false">F111</f>
        <v>840</v>
      </c>
      <c r="H101" s="21" t="n">
        <f aca="false">G111</f>
        <v>839</v>
      </c>
      <c r="I101" s="21" t="n">
        <f aca="false">H111</f>
        <v>838</v>
      </c>
      <c r="J101" s="21" t="n">
        <f aca="false">I111</f>
        <v>839</v>
      </c>
      <c r="K101" s="21" t="n">
        <f aca="false">J111</f>
        <v>841</v>
      </c>
      <c r="L101" s="21" t="n">
        <f aca="false">K111</f>
        <v>841</v>
      </c>
      <c r="M101" s="21" t="n">
        <f aca="false">L111</f>
        <v>841</v>
      </c>
      <c r="N101" s="21" t="n">
        <f aca="false">M111</f>
        <v>841</v>
      </c>
      <c r="O101" s="21" t="n">
        <f aca="false">N111</f>
        <v>841</v>
      </c>
    </row>
    <row r="102" customFormat="false" ht="12.75" hidden="false" customHeight="false" outlineLevel="0" collapsed="false">
      <c r="A102" s="22" t="s">
        <v>78</v>
      </c>
      <c r="C102" s="25" t="n">
        <v>277</v>
      </c>
      <c r="D102" s="25" t="n">
        <v>-46</v>
      </c>
      <c r="E102" s="25" t="n">
        <v>-46</v>
      </c>
      <c r="F102" s="26" t="n">
        <f aca="false">-46-139</f>
        <v>-185</v>
      </c>
      <c r="G102" s="25" t="n">
        <v>0</v>
      </c>
      <c r="H102" s="25" t="n">
        <v>0</v>
      </c>
      <c r="I102" s="25" t="n">
        <v>0</v>
      </c>
      <c r="J102" s="25" t="n">
        <v>0</v>
      </c>
      <c r="K102" s="25" t="n">
        <v>0</v>
      </c>
      <c r="L102" s="25" t="n">
        <v>0</v>
      </c>
      <c r="M102" s="25" t="n">
        <v>0</v>
      </c>
      <c r="N102" s="25" t="n">
        <v>0</v>
      </c>
      <c r="O102" s="25" t="n">
        <v>0</v>
      </c>
      <c r="P102" s="21" t="n">
        <f aca="false">SUM(D102:O102)</f>
        <v>-277</v>
      </c>
      <c r="Q102" s="25" t="n">
        <f aca="false">SUM(D102:J102)</f>
        <v>-277</v>
      </c>
      <c r="R102" s="21" t="n">
        <f aca="false">P102-Q102</f>
        <v>0</v>
      </c>
      <c r="T102" s="25"/>
      <c r="U102" s="21"/>
    </row>
    <row r="103" customFormat="false" ht="12.75" hidden="false" customHeight="false" outlineLevel="0" collapsed="false">
      <c r="A103" s="22" t="s">
        <v>79</v>
      </c>
      <c r="C103" s="25" t="n">
        <v>463</v>
      </c>
      <c r="D103" s="25" t="n">
        <v>0</v>
      </c>
      <c r="E103" s="25" t="n">
        <v>0</v>
      </c>
      <c r="F103" s="25" t="n">
        <v>0</v>
      </c>
      <c r="G103" s="25" t="n">
        <v>0</v>
      </c>
      <c r="H103" s="25" t="n">
        <v>0</v>
      </c>
      <c r="I103" s="25" t="n">
        <v>0</v>
      </c>
      <c r="J103" s="25" t="n">
        <v>0</v>
      </c>
      <c r="K103" s="25" t="n">
        <v>0</v>
      </c>
      <c r="L103" s="25" t="n">
        <v>0</v>
      </c>
      <c r="M103" s="25" t="n">
        <v>0</v>
      </c>
      <c r="N103" s="25" t="n">
        <v>0</v>
      </c>
      <c r="O103" s="25" t="n">
        <v>0</v>
      </c>
      <c r="P103" s="21" t="n">
        <f aca="false">SUM(D103:O103)</f>
        <v>0</v>
      </c>
      <c r="Q103" s="25" t="n">
        <f aca="false">SUM(D103:J103)</f>
        <v>0</v>
      </c>
      <c r="R103" s="21" t="n">
        <f aca="false">P103-Q103</f>
        <v>0</v>
      </c>
      <c r="T103" s="25"/>
      <c r="U103" s="21"/>
    </row>
    <row r="104" customFormat="false" ht="12.75" hidden="false" customHeight="false" outlineLevel="0" collapsed="false">
      <c r="A104" s="22" t="s">
        <v>80</v>
      </c>
      <c r="C104" s="25" t="n">
        <v>166</v>
      </c>
      <c r="D104" s="25" t="n">
        <v>0</v>
      </c>
      <c r="E104" s="25" t="n">
        <v>0</v>
      </c>
      <c r="F104" s="25" t="n">
        <v>0</v>
      </c>
      <c r="G104" s="25" t="n">
        <v>0</v>
      </c>
      <c r="H104" s="25" t="n">
        <v>0</v>
      </c>
      <c r="I104" s="25" t="n">
        <v>0</v>
      </c>
      <c r="J104" s="25" t="n">
        <v>0</v>
      </c>
      <c r="K104" s="25" t="n">
        <v>0</v>
      </c>
      <c r="L104" s="25" t="n">
        <v>0</v>
      </c>
      <c r="M104" s="25" t="n">
        <v>0</v>
      </c>
      <c r="N104" s="25" t="n">
        <v>0</v>
      </c>
      <c r="O104" s="25" t="n">
        <v>0</v>
      </c>
      <c r="P104" s="21" t="n">
        <f aca="false">SUM(D104:O104)</f>
        <v>0</v>
      </c>
      <c r="Q104" s="25" t="n">
        <f aca="false">SUM(D104:J104)</f>
        <v>0</v>
      </c>
      <c r="R104" s="21" t="n">
        <f aca="false">P104-Q104</f>
        <v>0</v>
      </c>
      <c r="T104" s="25"/>
      <c r="U104" s="21"/>
    </row>
    <row r="105" customFormat="false" ht="12.75" hidden="false" customHeight="false" outlineLevel="0" collapsed="false">
      <c r="A105" s="22" t="s">
        <v>81</v>
      </c>
      <c r="C105" s="25" t="n">
        <v>81</v>
      </c>
      <c r="D105" s="25" t="n">
        <v>0</v>
      </c>
      <c r="E105" s="25" t="n">
        <v>0</v>
      </c>
      <c r="F105" s="25" t="n">
        <v>0</v>
      </c>
      <c r="G105" s="25" t="n">
        <v>0</v>
      </c>
      <c r="H105" s="25" t="n">
        <v>0</v>
      </c>
      <c r="I105" s="25" t="n">
        <v>0</v>
      </c>
      <c r="J105" s="25" t="n">
        <v>0</v>
      </c>
      <c r="K105" s="25" t="n">
        <v>0</v>
      </c>
      <c r="L105" s="25" t="n">
        <v>0</v>
      </c>
      <c r="M105" s="25" t="n">
        <v>0</v>
      </c>
      <c r="N105" s="25" t="n">
        <v>0</v>
      </c>
      <c r="O105" s="25" t="n">
        <v>0</v>
      </c>
      <c r="P105" s="21" t="n">
        <f aca="false">SUM(D105:O105)</f>
        <v>0</v>
      </c>
      <c r="Q105" s="25" t="n">
        <f aca="false">SUM(D105:J105)</f>
        <v>0</v>
      </c>
      <c r="R105" s="21" t="n">
        <f aca="false">P105-Q105</f>
        <v>0</v>
      </c>
      <c r="T105" s="25"/>
      <c r="U105" s="21"/>
    </row>
    <row r="106" customFormat="false" ht="12.75" hidden="false" customHeight="false" outlineLevel="0" collapsed="false">
      <c r="A106" s="22" t="s">
        <v>82</v>
      </c>
      <c r="C106" s="25" t="n">
        <v>130</v>
      </c>
      <c r="D106" s="25" t="n">
        <v>0</v>
      </c>
      <c r="E106" s="25" t="n">
        <v>0</v>
      </c>
      <c r="F106" s="25" t="n">
        <v>0</v>
      </c>
      <c r="G106" s="25" t="n">
        <v>0</v>
      </c>
      <c r="H106" s="25" t="n">
        <v>0</v>
      </c>
      <c r="I106" s="25" t="n">
        <v>0</v>
      </c>
      <c r="J106" s="25" t="n">
        <v>0</v>
      </c>
      <c r="K106" s="25" t="n">
        <v>0</v>
      </c>
      <c r="L106" s="25" t="n">
        <v>0</v>
      </c>
      <c r="M106" s="25" t="n">
        <v>0</v>
      </c>
      <c r="N106" s="25" t="n">
        <v>0</v>
      </c>
      <c r="O106" s="25" t="n">
        <v>0</v>
      </c>
      <c r="P106" s="21" t="n">
        <f aca="false">SUM(D106:O106)</f>
        <v>0</v>
      </c>
      <c r="Q106" s="25" t="n">
        <f aca="false">SUM(D106:J106)</f>
        <v>0</v>
      </c>
      <c r="R106" s="21" t="n">
        <f aca="false">P106-Q106</f>
        <v>0</v>
      </c>
      <c r="T106" s="25"/>
      <c r="U106" s="21"/>
    </row>
    <row r="107" customFormat="false" ht="12.75" hidden="false" customHeight="false" outlineLevel="0" collapsed="false">
      <c r="A107" s="22" t="s">
        <v>83</v>
      </c>
      <c r="B107" s="27"/>
      <c r="C107" s="25" t="n">
        <v>0</v>
      </c>
      <c r="D107" s="25" t="n">
        <v>-436</v>
      </c>
      <c r="E107" s="26" t="n">
        <v>4681</v>
      </c>
      <c r="F107" s="26" t="n">
        <v>-4245</v>
      </c>
      <c r="G107" s="25" t="n">
        <v>0</v>
      </c>
      <c r="H107" s="25" t="n">
        <v>0</v>
      </c>
      <c r="I107" s="25" t="n">
        <v>0</v>
      </c>
      <c r="J107" s="25" t="n">
        <v>0</v>
      </c>
      <c r="K107" s="25" t="n">
        <v>0</v>
      </c>
      <c r="L107" s="25" t="n">
        <v>0</v>
      </c>
      <c r="M107" s="25" t="n">
        <v>0</v>
      </c>
      <c r="N107" s="25" t="n">
        <v>0</v>
      </c>
      <c r="O107" s="25" t="n">
        <v>0</v>
      </c>
      <c r="P107" s="21" t="n">
        <f aca="false">SUM(D107:O107)</f>
        <v>0</v>
      </c>
      <c r="Q107" s="25" t="n">
        <f aca="false">SUM(D107:J107)</f>
        <v>0</v>
      </c>
      <c r="R107" s="21" t="n">
        <f aca="false">P107-Q107</f>
        <v>0</v>
      </c>
      <c r="T107" s="25"/>
      <c r="U107" s="21"/>
    </row>
    <row r="108" customFormat="false" ht="12.75" hidden="false" customHeight="false" outlineLevel="0" collapsed="false">
      <c r="A108" s="22" t="s">
        <v>41</v>
      </c>
      <c r="B108" s="27"/>
      <c r="C108" s="25" t="n">
        <v>0</v>
      </c>
      <c r="D108" s="25" t="n">
        <v>0</v>
      </c>
      <c r="E108" s="25" t="n">
        <v>0</v>
      </c>
      <c r="F108" s="25" t="n">
        <v>0</v>
      </c>
      <c r="G108" s="25" t="n">
        <v>0</v>
      </c>
      <c r="H108" s="25" t="n">
        <v>0</v>
      </c>
      <c r="I108" s="25" t="n">
        <v>0</v>
      </c>
      <c r="J108" s="25" t="n">
        <v>0</v>
      </c>
      <c r="K108" s="25" t="n">
        <v>0</v>
      </c>
      <c r="L108" s="25" t="n">
        <v>0</v>
      </c>
      <c r="M108" s="25" t="n">
        <v>0</v>
      </c>
      <c r="N108" s="25" t="n">
        <v>0</v>
      </c>
      <c r="O108" s="25" t="n">
        <v>0</v>
      </c>
      <c r="P108" s="21" t="n">
        <f aca="false">SUM(D108:O108)</f>
        <v>0</v>
      </c>
      <c r="Q108" s="25" t="n">
        <f aca="false">SUM(D108:J108)</f>
        <v>0</v>
      </c>
      <c r="R108" s="21" t="n">
        <f aca="false">P108-Q108</f>
        <v>0</v>
      </c>
      <c r="T108" s="25"/>
      <c r="U108" s="21"/>
    </row>
    <row r="109" customFormat="false" ht="12.75" hidden="false" customHeight="false" outlineLevel="0" collapsed="false">
      <c r="A109" s="22" t="s">
        <v>28</v>
      </c>
      <c r="C109" s="23" t="n">
        <v>2</v>
      </c>
      <c r="D109" s="23" t="n">
        <v>0</v>
      </c>
      <c r="E109" s="23" t="n">
        <v>0</v>
      </c>
      <c r="F109" s="23" t="n">
        <v>-2</v>
      </c>
      <c r="G109" s="23" t="n">
        <v>-1</v>
      </c>
      <c r="H109" s="23" t="n">
        <v>-1</v>
      </c>
      <c r="I109" s="23" t="n">
        <v>1</v>
      </c>
      <c r="J109" s="23" t="n">
        <v>2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4" t="n">
        <f aca="false">SUM(D109:O109)</f>
        <v>-1</v>
      </c>
      <c r="Q109" s="23" t="n">
        <f aca="false">SUM(D109:J109)</f>
        <v>-1</v>
      </c>
      <c r="R109" s="24" t="n">
        <f aca="false">P109-Q109</f>
        <v>0</v>
      </c>
      <c r="T109" s="25"/>
      <c r="U109" s="21"/>
    </row>
    <row r="110" customFormat="false" ht="3.95" hidden="false" customHeight="true" outlineLevel="0" collapsed="false"/>
    <row r="111" customFormat="false" ht="12.75" hidden="false" customHeight="false" outlineLevel="0" collapsed="false">
      <c r="A111" s="20" t="s">
        <v>84</v>
      </c>
      <c r="C111" s="21" t="n">
        <f aca="false">SUM(C101:C109)</f>
        <v>1119</v>
      </c>
      <c r="D111" s="21" t="n">
        <f aca="false">SUM(D101:D109)</f>
        <v>637</v>
      </c>
      <c r="E111" s="21" t="n">
        <f aca="false">SUM(E101:E109)</f>
        <v>5272</v>
      </c>
      <c r="F111" s="21" t="n">
        <f aca="false">SUM(F101:F109)</f>
        <v>840</v>
      </c>
      <c r="G111" s="21" t="n">
        <f aca="false">SUM(G101:G109)</f>
        <v>839</v>
      </c>
      <c r="H111" s="21" t="n">
        <f aca="false">SUM(H101:H109)</f>
        <v>838</v>
      </c>
      <c r="I111" s="21" t="n">
        <f aca="false">SUM(I101:I109)</f>
        <v>839</v>
      </c>
      <c r="J111" s="21" t="n">
        <f aca="false">SUM(J101:J109)</f>
        <v>841</v>
      </c>
      <c r="K111" s="21" t="n">
        <f aca="false">SUM(K101:K109)</f>
        <v>841</v>
      </c>
      <c r="L111" s="21" t="n">
        <f aca="false">SUM(L101:L109)</f>
        <v>841</v>
      </c>
      <c r="M111" s="21" t="n">
        <f aca="false">SUM(M101:M109)</f>
        <v>841</v>
      </c>
      <c r="N111" s="21" t="n">
        <f aca="false">SUM(N101:N109)</f>
        <v>841</v>
      </c>
      <c r="O111" s="21" t="n">
        <f aca="false">SUM(O101:O109)</f>
        <v>841</v>
      </c>
    </row>
    <row r="112" customFormat="false" ht="3.95" hidden="false" customHeight="true" outlineLevel="0" collapsed="false"/>
    <row r="113" customFormat="false" ht="12.75" hidden="false" customHeight="false" outlineLevel="0" collapsed="false">
      <c r="A113" s="22" t="s">
        <v>30</v>
      </c>
      <c r="D113" s="21" t="n">
        <f aca="false">D111-C111</f>
        <v>-482</v>
      </c>
      <c r="E113" s="21" t="n">
        <f aca="false">E111-D111</f>
        <v>4635</v>
      </c>
      <c r="F113" s="21" t="n">
        <f aca="false">F111-E111</f>
        <v>-4432</v>
      </c>
      <c r="G113" s="21" t="n">
        <f aca="false">G111-F111</f>
        <v>-1</v>
      </c>
      <c r="H113" s="21" t="n">
        <f aca="false">H111-G111</f>
        <v>-1</v>
      </c>
      <c r="I113" s="21" t="n">
        <f aca="false">I111-H111</f>
        <v>1</v>
      </c>
      <c r="J113" s="21" t="n">
        <f aca="false">J111-I111</f>
        <v>2</v>
      </c>
      <c r="K113" s="21" t="n">
        <f aca="false">K111-J111</f>
        <v>0</v>
      </c>
      <c r="L113" s="21" t="n">
        <f aca="false">L111-K111</f>
        <v>0</v>
      </c>
      <c r="M113" s="21" t="n">
        <f aca="false">M111-L111</f>
        <v>0</v>
      </c>
      <c r="N113" s="21" t="n">
        <f aca="false">N111-M111</f>
        <v>0</v>
      </c>
      <c r="O113" s="21" t="n">
        <f aca="false">O111-N111</f>
        <v>0</v>
      </c>
      <c r="P113" s="21" t="n">
        <f aca="false">SUM(D113:O113)</f>
        <v>-278</v>
      </c>
      <c r="Q113" s="21" t="n">
        <f aca="false">SUM(Q102:Q110)</f>
        <v>-278</v>
      </c>
      <c r="R113" s="21" t="n">
        <f aca="false">P113-Q113</f>
        <v>0</v>
      </c>
    </row>
    <row r="115" customFormat="false" ht="12.75" hidden="false" customHeight="false" outlineLevel="0" collapsed="false">
      <c r="A115" s="20" t="s">
        <v>85</v>
      </c>
      <c r="D115" s="21" t="n">
        <f aca="false">C123</f>
        <v>48163</v>
      </c>
      <c r="E115" s="21" t="n">
        <f aca="false">D123</f>
        <v>48660</v>
      </c>
      <c r="F115" s="21" t="n">
        <f aca="false">E123</f>
        <v>48961</v>
      </c>
      <c r="G115" s="21" t="n">
        <f aca="false">F123</f>
        <v>48445</v>
      </c>
      <c r="H115" s="21" t="n">
        <f aca="false">G123</f>
        <v>49702</v>
      </c>
      <c r="I115" s="21" t="n">
        <f aca="false">H123</f>
        <v>49991</v>
      </c>
      <c r="J115" s="21" t="n">
        <f aca="false">I123</f>
        <v>46599</v>
      </c>
      <c r="K115" s="21" t="n">
        <f aca="false">J123</f>
        <v>46906</v>
      </c>
      <c r="L115" s="21" t="n">
        <f aca="false">K123</f>
        <v>45148</v>
      </c>
      <c r="M115" s="21" t="n">
        <f aca="false">L123</f>
        <v>44644</v>
      </c>
      <c r="N115" s="21" t="n">
        <f aca="false">M123</f>
        <v>44941</v>
      </c>
      <c r="O115" s="21" t="n">
        <f aca="false">N123</f>
        <v>45255</v>
      </c>
    </row>
    <row r="116" customFormat="false" ht="12.75" hidden="false" customHeight="false" outlineLevel="0" collapsed="false">
      <c r="A116" s="22" t="s">
        <v>86</v>
      </c>
      <c r="B116" s="27" t="s">
        <v>34</v>
      </c>
      <c r="D116" s="21" t="n">
        <f aca="false">[1]Source!D43</f>
        <v>525</v>
      </c>
      <c r="E116" s="21" t="n">
        <f aca="false">[1]Source!E43</f>
        <v>329</v>
      </c>
      <c r="F116" s="30" t="n">
        <f aca="false">[1]Source!F43-1</f>
        <v>312</v>
      </c>
      <c r="G116" s="30" t="n">
        <f aca="false">[1]Source!G43+1</f>
        <v>1285</v>
      </c>
      <c r="H116" s="30" t="n">
        <f aca="false">[1]Source!H43-1</f>
        <v>317</v>
      </c>
      <c r="I116" s="21" t="n">
        <f aca="false">[1]Source!I43</f>
        <v>436</v>
      </c>
      <c r="J116" s="21" t="n">
        <f aca="false">[1]Source!J43</f>
        <v>335</v>
      </c>
      <c r="K116" s="21" t="n">
        <f aca="false">[1]Source!K43</f>
        <v>270</v>
      </c>
      <c r="L116" s="21" t="n">
        <f aca="false">[1]Source!L43</f>
        <v>324</v>
      </c>
      <c r="M116" s="21" t="n">
        <f aca="false">[1]Source!M43</f>
        <v>325</v>
      </c>
      <c r="N116" s="21" t="n">
        <f aca="false">[1]Source!N43</f>
        <v>342</v>
      </c>
      <c r="O116" s="21" t="n">
        <f aca="false">[1]Source!O43</f>
        <v>16</v>
      </c>
      <c r="P116" s="21" t="n">
        <f aca="false">SUM(D116:O116)</f>
        <v>4816</v>
      </c>
      <c r="Q116" s="25" t="n">
        <f aca="false">SUM(D116:J116)</f>
        <v>3539</v>
      </c>
      <c r="R116" s="21" t="n">
        <f aca="false">P116-Q116</f>
        <v>1277</v>
      </c>
    </row>
    <row r="117" customFormat="false" ht="12.75" hidden="false" customHeight="false" outlineLevel="0" collapsed="false">
      <c r="A117" s="22" t="s">
        <v>87</v>
      </c>
      <c r="D117" s="25" t="n">
        <v>0</v>
      </c>
      <c r="E117" s="25" t="n">
        <v>0</v>
      </c>
      <c r="F117" s="25" t="n">
        <v>-800</v>
      </c>
      <c r="G117" s="25" t="n">
        <v>0</v>
      </c>
      <c r="H117" s="25" t="n">
        <v>0</v>
      </c>
      <c r="I117" s="26" t="n">
        <f aca="false">-800-3000</f>
        <v>-3800</v>
      </c>
      <c r="J117" s="25" t="n">
        <v>0</v>
      </c>
      <c r="K117" s="25" t="n">
        <v>-2000</v>
      </c>
      <c r="L117" s="25" t="n">
        <v>-800</v>
      </c>
      <c r="M117" s="25" t="n">
        <v>0</v>
      </c>
      <c r="N117" s="25" t="n">
        <v>0</v>
      </c>
      <c r="O117" s="25" t="n">
        <v>-800</v>
      </c>
      <c r="P117" s="21" t="n">
        <f aca="false">SUM(D117:O117)</f>
        <v>-8200</v>
      </c>
      <c r="Q117" s="25" t="n">
        <f aca="false">SUM(D117:J117)</f>
        <v>-4600</v>
      </c>
      <c r="R117" s="21" t="n">
        <f aca="false">P117-Q117</f>
        <v>-3600</v>
      </c>
    </row>
    <row r="118" customFormat="false" ht="12.75" hidden="false" customHeight="false" outlineLevel="0" collapsed="false">
      <c r="A118" s="22" t="s">
        <v>88</v>
      </c>
      <c r="D118" s="25" t="n">
        <v>0</v>
      </c>
      <c r="E118" s="25" t="n">
        <v>0</v>
      </c>
      <c r="F118" s="25" t="n">
        <v>0</v>
      </c>
      <c r="G118" s="25" t="n">
        <v>0</v>
      </c>
      <c r="H118" s="25" t="n">
        <v>0</v>
      </c>
      <c r="I118" s="25" t="n">
        <v>0</v>
      </c>
      <c r="J118" s="25" t="n">
        <v>0</v>
      </c>
      <c r="K118" s="25" t="n">
        <v>0</v>
      </c>
      <c r="L118" s="25" t="n">
        <v>0</v>
      </c>
      <c r="M118" s="25" t="n">
        <v>0</v>
      </c>
      <c r="N118" s="25" t="n">
        <v>0</v>
      </c>
      <c r="O118" s="25" t="n">
        <v>0</v>
      </c>
      <c r="P118" s="21" t="n">
        <f aca="false">SUM(D118:O118)</f>
        <v>0</v>
      </c>
      <c r="Q118" s="25" t="n">
        <f aca="false">SUM(D118:J118)</f>
        <v>0</v>
      </c>
      <c r="R118" s="21" t="n">
        <f aca="false">P118-Q118</f>
        <v>0</v>
      </c>
    </row>
    <row r="119" customFormat="false" ht="12.75" hidden="false" customHeight="false" outlineLevel="0" collapsed="false">
      <c r="A119" s="22" t="s">
        <v>89</v>
      </c>
      <c r="C119" s="34" t="n">
        <f aca="false">21764-197-336</f>
        <v>21231</v>
      </c>
      <c r="D119" s="25" t="n">
        <v>-28</v>
      </c>
      <c r="E119" s="25" t="n">
        <v>-28</v>
      </c>
      <c r="F119" s="25" t="n">
        <v>-28</v>
      </c>
      <c r="G119" s="25" t="n">
        <v>-28</v>
      </c>
      <c r="H119" s="25" t="n">
        <v>-28</v>
      </c>
      <c r="I119" s="25" t="n">
        <v>-28</v>
      </c>
      <c r="J119" s="25" t="n">
        <v>-28</v>
      </c>
      <c r="K119" s="25" t="n">
        <v>-28</v>
      </c>
      <c r="L119" s="25" t="n">
        <v>-28</v>
      </c>
      <c r="M119" s="25" t="n">
        <v>-28</v>
      </c>
      <c r="N119" s="25" t="n">
        <v>-28</v>
      </c>
      <c r="O119" s="25" t="n">
        <v>-28</v>
      </c>
      <c r="P119" s="21" t="n">
        <f aca="false">SUM(D119:O119)</f>
        <v>-336</v>
      </c>
      <c r="Q119" s="25" t="n">
        <f aca="false">SUM(D119:J119)</f>
        <v>-196</v>
      </c>
      <c r="R119" s="21" t="n">
        <f aca="false">P119-Q119</f>
        <v>-140</v>
      </c>
    </row>
    <row r="120" customFormat="false" ht="12.75" hidden="false" customHeight="false" outlineLevel="0" collapsed="false">
      <c r="A120" s="22" t="s">
        <v>41</v>
      </c>
      <c r="D120" s="25" t="n">
        <v>0</v>
      </c>
      <c r="E120" s="25" t="n">
        <v>0</v>
      </c>
      <c r="F120" s="25" t="n">
        <v>0</v>
      </c>
      <c r="G120" s="25" t="n">
        <v>0</v>
      </c>
      <c r="H120" s="25" t="n">
        <v>0</v>
      </c>
      <c r="I120" s="25" t="n">
        <v>0</v>
      </c>
      <c r="J120" s="25" t="n">
        <v>0</v>
      </c>
      <c r="K120" s="25" t="n">
        <v>0</v>
      </c>
      <c r="L120" s="25" t="n">
        <v>0</v>
      </c>
      <c r="M120" s="25" t="n">
        <v>0</v>
      </c>
      <c r="N120" s="25" t="n">
        <v>0</v>
      </c>
      <c r="O120" s="25" t="n">
        <v>0</v>
      </c>
      <c r="P120" s="21" t="n">
        <f aca="false">SUM(D120:O120)</f>
        <v>0</v>
      </c>
      <c r="Q120" s="25" t="n">
        <f aca="false">SUM(D120:J120)</f>
        <v>0</v>
      </c>
      <c r="R120" s="21" t="n">
        <f aca="false">P120-Q120</f>
        <v>0</v>
      </c>
    </row>
    <row r="121" customFormat="false" ht="12.75" hidden="false" customHeight="false" outlineLevel="0" collapsed="false">
      <c r="A121" s="22" t="s">
        <v>28</v>
      </c>
      <c r="C121" s="23" t="n">
        <v>0</v>
      </c>
      <c r="D121" s="23" t="n">
        <v>0</v>
      </c>
      <c r="E121" s="23" t="n">
        <v>0</v>
      </c>
      <c r="F121" s="23" t="n">
        <v>0</v>
      </c>
      <c r="G121" s="23" t="n">
        <v>0</v>
      </c>
      <c r="H121" s="23" t="n">
        <v>0</v>
      </c>
      <c r="I121" s="23" t="n">
        <v>0</v>
      </c>
      <c r="J121" s="23" t="n">
        <v>0</v>
      </c>
      <c r="K121" s="23" t="n">
        <v>0</v>
      </c>
      <c r="L121" s="23" t="n">
        <v>0</v>
      </c>
      <c r="M121" s="23" t="n">
        <v>0</v>
      </c>
      <c r="N121" s="23" t="n">
        <v>0</v>
      </c>
      <c r="O121" s="23" t="n">
        <v>0</v>
      </c>
      <c r="P121" s="24" t="n">
        <f aca="false">SUM(D121:O121)</f>
        <v>0</v>
      </c>
      <c r="Q121" s="23" t="n">
        <f aca="false">SUM(D121:J121)</f>
        <v>0</v>
      </c>
      <c r="R121" s="24" t="n">
        <f aca="false">P121-Q121</f>
        <v>0</v>
      </c>
    </row>
    <row r="122" customFormat="false" ht="3.95" hidden="false" customHeight="true" outlineLevel="0" collapsed="false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customFormat="false" ht="12.75" hidden="false" customHeight="false" outlineLevel="0" collapsed="false">
      <c r="A123" s="20" t="s">
        <v>90</v>
      </c>
      <c r="C123" s="25" t="n">
        <v>48163</v>
      </c>
      <c r="D123" s="21" t="n">
        <f aca="false">SUM(D115:D122)</f>
        <v>48660</v>
      </c>
      <c r="E123" s="21" t="n">
        <f aca="false">SUM(E115:E122)</f>
        <v>48961</v>
      </c>
      <c r="F123" s="21" t="n">
        <f aca="false">SUM(F115:F122)</f>
        <v>48445</v>
      </c>
      <c r="G123" s="21" t="n">
        <f aca="false">SUM(G115:G122)</f>
        <v>49702</v>
      </c>
      <c r="H123" s="21" t="n">
        <f aca="false">SUM(H115:H122)</f>
        <v>49991</v>
      </c>
      <c r="I123" s="21" t="n">
        <f aca="false">SUM(I115:I122)</f>
        <v>46599</v>
      </c>
      <c r="J123" s="21" t="n">
        <f aca="false">SUM(J115:J122)</f>
        <v>46906</v>
      </c>
      <c r="K123" s="21" t="n">
        <f aca="false">SUM(K115:K122)</f>
        <v>45148</v>
      </c>
      <c r="L123" s="21" t="n">
        <f aca="false">SUM(L115:L122)</f>
        <v>44644</v>
      </c>
      <c r="M123" s="21" t="n">
        <f aca="false">SUM(M115:M122)</f>
        <v>44941</v>
      </c>
      <c r="N123" s="21" t="n">
        <f aca="false">SUM(N115:N122)</f>
        <v>45255</v>
      </c>
      <c r="O123" s="21" t="n">
        <f aca="false">SUM(O115:O122)</f>
        <v>44443</v>
      </c>
    </row>
    <row r="124" customFormat="false" ht="3.95" hidden="false" customHeight="true" outlineLevel="0" collapsed="false"/>
    <row r="125" customFormat="false" ht="12.75" hidden="false" customHeight="false" outlineLevel="0" collapsed="false">
      <c r="A125" s="22" t="s">
        <v>30</v>
      </c>
      <c r="D125" s="21" t="n">
        <f aca="false">D123-C123</f>
        <v>497</v>
      </c>
      <c r="E125" s="21" t="n">
        <f aca="false">E123-D123</f>
        <v>301</v>
      </c>
      <c r="F125" s="21" t="n">
        <f aca="false">F123-E123</f>
        <v>-516</v>
      </c>
      <c r="G125" s="21" t="n">
        <f aca="false">G123-F123</f>
        <v>1257</v>
      </c>
      <c r="H125" s="21" t="n">
        <f aca="false">H123-G123</f>
        <v>289</v>
      </c>
      <c r="I125" s="21" t="n">
        <f aca="false">I123-H123</f>
        <v>-3392</v>
      </c>
      <c r="J125" s="21" t="n">
        <f aca="false">J123-I123</f>
        <v>307</v>
      </c>
      <c r="K125" s="21" t="n">
        <f aca="false">K123-J123</f>
        <v>-1758</v>
      </c>
      <c r="L125" s="21" t="n">
        <f aca="false">L123-K123</f>
        <v>-504</v>
      </c>
      <c r="M125" s="21" t="n">
        <f aca="false">M123-L123</f>
        <v>297</v>
      </c>
      <c r="N125" s="21" t="n">
        <f aca="false">N123-M123</f>
        <v>314</v>
      </c>
      <c r="O125" s="21" t="n">
        <f aca="false">O123-N123</f>
        <v>-812</v>
      </c>
      <c r="P125" s="21" t="n">
        <f aca="false">SUM(D125:O125)</f>
        <v>-3720</v>
      </c>
      <c r="Q125" s="21" t="n">
        <f aca="false">SUM(Q116:Q122)</f>
        <v>-1257</v>
      </c>
      <c r="R125" s="21" t="n">
        <f aca="false">P125-Q125</f>
        <v>-2463</v>
      </c>
    </row>
    <row r="126" customFormat="false" ht="12" hidden="false" customHeight="true" outlineLevel="0" collapsed="false"/>
    <row r="127" customFormat="false" ht="12.75" hidden="false" customHeight="false" outlineLevel="0" collapsed="false">
      <c r="A127" s="20" t="s">
        <v>91</v>
      </c>
      <c r="C127" s="21"/>
      <c r="D127" s="21" t="n">
        <f aca="false">C132</f>
        <v>3728</v>
      </c>
      <c r="E127" s="21" t="n">
        <f aca="false">D132</f>
        <v>3728</v>
      </c>
      <c r="F127" s="21" t="n">
        <f aca="false">E132</f>
        <v>3728</v>
      </c>
      <c r="G127" s="21" t="n">
        <f aca="false">F132</f>
        <v>3728</v>
      </c>
      <c r="H127" s="21" t="n">
        <f aca="false">G132</f>
        <v>3728</v>
      </c>
      <c r="I127" s="21" t="n">
        <f aca="false">H132</f>
        <v>3728</v>
      </c>
      <c r="J127" s="21" t="n">
        <f aca="false">I132</f>
        <v>3728</v>
      </c>
      <c r="K127" s="21" t="n">
        <f aca="false">J132</f>
        <v>3728</v>
      </c>
      <c r="L127" s="21" t="n">
        <f aca="false">K132</f>
        <v>3728</v>
      </c>
      <c r="M127" s="21" t="n">
        <f aca="false">L132</f>
        <v>3728</v>
      </c>
      <c r="N127" s="21" t="n">
        <f aca="false">M132</f>
        <v>3728</v>
      </c>
      <c r="O127" s="21" t="n">
        <f aca="false">N132</f>
        <v>3728</v>
      </c>
      <c r="P127" s="21"/>
    </row>
    <row r="128" customFormat="false" ht="12.75" hidden="false" customHeight="false" outlineLevel="0" collapsed="false">
      <c r="A128" s="22" t="s">
        <v>92</v>
      </c>
      <c r="C128" s="25" t="n">
        <v>3717</v>
      </c>
      <c r="D128" s="25" t="n">
        <v>0</v>
      </c>
      <c r="E128" s="25" t="n">
        <v>0</v>
      </c>
      <c r="F128" s="25" t="n">
        <v>0</v>
      </c>
      <c r="G128" s="25" t="n">
        <v>0</v>
      </c>
      <c r="H128" s="25" t="n">
        <v>0</v>
      </c>
      <c r="I128" s="25" t="n">
        <v>0</v>
      </c>
      <c r="J128" s="25" t="n">
        <v>0</v>
      </c>
      <c r="K128" s="25" t="n">
        <v>0</v>
      </c>
      <c r="L128" s="25" t="n">
        <v>0</v>
      </c>
      <c r="M128" s="25" t="n">
        <v>0</v>
      </c>
      <c r="N128" s="25" t="n">
        <v>0</v>
      </c>
      <c r="O128" s="25" t="n">
        <v>0</v>
      </c>
      <c r="P128" s="21" t="n">
        <f aca="false">SUM(D128:O128)</f>
        <v>0</v>
      </c>
      <c r="Q128" s="25" t="n">
        <f aca="false">SUM(D128:J128)</f>
        <v>0</v>
      </c>
      <c r="R128" s="21" t="n">
        <f aca="false">P128-Q128</f>
        <v>0</v>
      </c>
    </row>
    <row r="129" customFormat="false" ht="12.75" hidden="false" customHeight="false" outlineLevel="0" collapsed="false">
      <c r="A129" s="22" t="s">
        <v>93</v>
      </c>
      <c r="C129" s="25" t="n">
        <v>11</v>
      </c>
      <c r="D129" s="25" t="n">
        <v>0</v>
      </c>
      <c r="E129" s="25" t="n">
        <v>0</v>
      </c>
      <c r="F129" s="25" t="n">
        <v>0</v>
      </c>
      <c r="G129" s="25" t="n">
        <v>0</v>
      </c>
      <c r="H129" s="25" t="n">
        <v>0</v>
      </c>
      <c r="I129" s="25" t="n">
        <v>0</v>
      </c>
      <c r="J129" s="25" t="n">
        <v>0</v>
      </c>
      <c r="K129" s="25" t="n">
        <v>0</v>
      </c>
      <c r="L129" s="25" t="n">
        <v>0</v>
      </c>
      <c r="M129" s="25" t="n">
        <v>0</v>
      </c>
      <c r="N129" s="25" t="n">
        <v>0</v>
      </c>
      <c r="O129" s="25" t="n">
        <v>0</v>
      </c>
      <c r="P129" s="21" t="n">
        <f aca="false">SUM(D129:O129)</f>
        <v>0</v>
      </c>
      <c r="Q129" s="25" t="n">
        <f aca="false">SUM(D129:J129)</f>
        <v>0</v>
      </c>
      <c r="R129" s="21" t="n">
        <f aca="false">P129-Q129</f>
        <v>0</v>
      </c>
    </row>
    <row r="130" customFormat="false" ht="12.75" hidden="false" customHeight="false" outlineLevel="0" collapsed="false">
      <c r="A130" s="22" t="s">
        <v>28</v>
      </c>
      <c r="C130" s="23" t="n">
        <v>0</v>
      </c>
      <c r="D130" s="23" t="n">
        <v>0</v>
      </c>
      <c r="E130" s="23" t="n">
        <v>0</v>
      </c>
      <c r="F130" s="23" t="n">
        <v>0</v>
      </c>
      <c r="G130" s="23" t="n">
        <v>0</v>
      </c>
      <c r="H130" s="23" t="n">
        <v>0</v>
      </c>
      <c r="I130" s="23" t="n">
        <v>0</v>
      </c>
      <c r="J130" s="23" t="n">
        <v>0</v>
      </c>
      <c r="K130" s="23" t="n">
        <v>0</v>
      </c>
      <c r="L130" s="23" t="n">
        <v>0</v>
      </c>
      <c r="M130" s="23" t="n">
        <v>0</v>
      </c>
      <c r="N130" s="23" t="n">
        <v>0</v>
      </c>
      <c r="O130" s="23" t="n">
        <v>0</v>
      </c>
      <c r="P130" s="24" t="n">
        <f aca="false">SUM(D130:O130)</f>
        <v>0</v>
      </c>
      <c r="Q130" s="23" t="n">
        <f aca="false">SUM(D130:J130)</f>
        <v>0</v>
      </c>
      <c r="R130" s="24" t="n">
        <f aca="false">P130-Q130</f>
        <v>0</v>
      </c>
    </row>
    <row r="131" customFormat="false" ht="3.95" hidden="false" customHeight="true" outlineLevel="0" collapsed="false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customFormat="false" ht="12.75" hidden="false" customHeight="false" outlineLevel="0" collapsed="false">
      <c r="A132" s="20" t="s">
        <v>94</v>
      </c>
      <c r="C132" s="21" t="n">
        <f aca="false">SUM(C127:C131)</f>
        <v>3728</v>
      </c>
      <c r="D132" s="21" t="n">
        <f aca="false">SUM(D127:D131)</f>
        <v>3728</v>
      </c>
      <c r="E132" s="21" t="n">
        <f aca="false">SUM(E127:E131)</f>
        <v>3728</v>
      </c>
      <c r="F132" s="21" t="n">
        <f aca="false">SUM(F127:F131)</f>
        <v>3728</v>
      </c>
      <c r="G132" s="21" t="n">
        <f aca="false">SUM(G127:G131)</f>
        <v>3728</v>
      </c>
      <c r="H132" s="21" t="n">
        <f aca="false">SUM(H127:H131)</f>
        <v>3728</v>
      </c>
      <c r="I132" s="21" t="n">
        <f aca="false">SUM(I127:I131)</f>
        <v>3728</v>
      </c>
      <c r="J132" s="21" t="n">
        <f aca="false">SUM(J127:J131)</f>
        <v>3728</v>
      </c>
      <c r="K132" s="21" t="n">
        <f aca="false">SUM(K127:K131)</f>
        <v>3728</v>
      </c>
      <c r="L132" s="21" t="n">
        <f aca="false">SUM(L127:L131)</f>
        <v>3728</v>
      </c>
      <c r="M132" s="21" t="n">
        <f aca="false">SUM(M127:M131)</f>
        <v>3728</v>
      </c>
      <c r="N132" s="21" t="n">
        <f aca="false">SUM(N127:N131)</f>
        <v>3728</v>
      </c>
      <c r="O132" s="21" t="n">
        <f aca="false">SUM(O127:O131)</f>
        <v>3728</v>
      </c>
      <c r="P132" s="21"/>
    </row>
    <row r="133" customFormat="false" ht="3.95" hidden="false" customHeight="true" outlineLevel="0" collapsed="false"/>
    <row r="134" customFormat="false" ht="12.75" hidden="false" customHeight="false" outlineLevel="0" collapsed="false">
      <c r="A134" s="22" t="s">
        <v>30</v>
      </c>
      <c r="C134" s="21"/>
      <c r="D134" s="21" t="n">
        <f aca="false">D132-C132</f>
        <v>0</v>
      </c>
      <c r="E134" s="21" t="n">
        <f aca="false">E132-D132</f>
        <v>0</v>
      </c>
      <c r="F134" s="21" t="n">
        <f aca="false">F132-E132</f>
        <v>0</v>
      </c>
      <c r="G134" s="21" t="n">
        <f aca="false">G132-F132</f>
        <v>0</v>
      </c>
      <c r="H134" s="21" t="n">
        <f aca="false">H132-G132</f>
        <v>0</v>
      </c>
      <c r="I134" s="21" t="n">
        <f aca="false">I132-H132</f>
        <v>0</v>
      </c>
      <c r="J134" s="21" t="n">
        <f aca="false">J132-I132</f>
        <v>0</v>
      </c>
      <c r="K134" s="21" t="n">
        <f aca="false">K132-J132</f>
        <v>0</v>
      </c>
      <c r="L134" s="21" t="n">
        <f aca="false">L132-K132</f>
        <v>0</v>
      </c>
      <c r="M134" s="21" t="n">
        <f aca="false">M132-L132</f>
        <v>0</v>
      </c>
      <c r="N134" s="21" t="n">
        <f aca="false">N132-M132</f>
        <v>0</v>
      </c>
      <c r="O134" s="21" t="n">
        <f aca="false">O132-N132</f>
        <v>0</v>
      </c>
      <c r="P134" s="21" t="n">
        <f aca="false">SUM(D134:O134)</f>
        <v>0</v>
      </c>
      <c r="Q134" s="21" t="n">
        <f aca="false">SUM(Q130:Q131)</f>
        <v>0</v>
      </c>
      <c r="R134" s="21" t="n">
        <f aca="false">P134-Q134</f>
        <v>0</v>
      </c>
    </row>
    <row r="135" customFormat="false" ht="8.1" hidden="false" customHeight="true" outlineLevel="0" collapsed="false"/>
    <row r="137" customFormat="false" ht="12.75" hidden="false" customHeight="false" outlineLevel="0" collapsed="false">
      <c r="A137" s="20" t="s">
        <v>95</v>
      </c>
      <c r="C137" s="21"/>
      <c r="D137" s="21" t="n">
        <f aca="false">C144</f>
        <v>28904</v>
      </c>
      <c r="E137" s="21" t="n">
        <f aca="false">D144</f>
        <v>34674</v>
      </c>
      <c r="F137" s="21" t="n">
        <f aca="false">E144</f>
        <v>40965</v>
      </c>
      <c r="G137" s="21" t="n">
        <f aca="false">F144</f>
        <v>38317</v>
      </c>
      <c r="H137" s="21" t="n">
        <f aca="false">G144</f>
        <v>39856</v>
      </c>
      <c r="I137" s="21" t="n">
        <f aca="false">H144</f>
        <v>27978</v>
      </c>
      <c r="J137" s="21" t="n">
        <f aca="false">I144</f>
        <v>14302</v>
      </c>
      <c r="K137" s="21" t="n">
        <f aca="false">J144</f>
        <v>12478</v>
      </c>
      <c r="L137" s="21" t="n">
        <f aca="false">K144</f>
        <v>12478</v>
      </c>
      <c r="M137" s="21" t="n">
        <f aca="false">L144</f>
        <v>12478</v>
      </c>
      <c r="N137" s="21" t="n">
        <f aca="false">M144</f>
        <v>12478</v>
      </c>
      <c r="O137" s="21" t="n">
        <f aca="false">N144</f>
        <v>12478</v>
      </c>
      <c r="P137" s="21"/>
    </row>
    <row r="138" customFormat="false" ht="12.75" hidden="false" customHeight="false" outlineLevel="0" collapsed="false">
      <c r="A138" s="22" t="s">
        <v>96</v>
      </c>
      <c r="C138" s="25" t="n">
        <f aca="false">14700+7907</f>
        <v>22607</v>
      </c>
      <c r="D138" s="25" t="n">
        <v>4821</v>
      </c>
      <c r="E138" s="25" t="n">
        <v>6499</v>
      </c>
      <c r="F138" s="35" t="n">
        <f aca="false">-2253+15</f>
        <v>-2238</v>
      </c>
      <c r="G138" s="25" t="n">
        <f aca="false">1724</f>
        <v>1724</v>
      </c>
      <c r="H138" s="25" t="n">
        <v>-11737</v>
      </c>
      <c r="I138" s="25" t="n">
        <v>-13611</v>
      </c>
      <c r="J138" s="25" t="n">
        <v>-1824</v>
      </c>
      <c r="K138" s="25" t="n">
        <v>0</v>
      </c>
      <c r="L138" s="25" t="n">
        <v>0</v>
      </c>
      <c r="M138" s="25" t="n">
        <v>0</v>
      </c>
      <c r="N138" s="25" t="n">
        <v>0</v>
      </c>
      <c r="O138" s="25" t="n">
        <v>0</v>
      </c>
      <c r="P138" s="21" t="n">
        <f aca="false">SUM(D138:O138)</f>
        <v>-16366</v>
      </c>
      <c r="Q138" s="25" t="n">
        <f aca="false">SUM(D138:J138)</f>
        <v>-16366</v>
      </c>
      <c r="R138" s="21" t="n">
        <f aca="false">P138-Q138</f>
        <v>0</v>
      </c>
    </row>
    <row r="139" customFormat="false" ht="12.75" hidden="false" customHeight="false" outlineLevel="0" collapsed="false">
      <c r="A139" s="22" t="s">
        <v>97</v>
      </c>
      <c r="C139" s="25" t="n">
        <v>6297</v>
      </c>
      <c r="D139" s="25" t="n">
        <v>-66</v>
      </c>
      <c r="E139" s="25" t="n">
        <v>-175</v>
      </c>
      <c r="F139" s="26" t="n">
        <f aca="false">-65+2</f>
        <v>-63</v>
      </c>
      <c r="G139" s="26" t="n">
        <f aca="false">-62-3</f>
        <v>-65</v>
      </c>
      <c r="H139" s="25" t="n">
        <f aca="false">-65+(-61-15)</f>
        <v>-141</v>
      </c>
      <c r="I139" s="25" t="n">
        <v>-65</v>
      </c>
      <c r="J139" s="25" t="n">
        <v>0</v>
      </c>
      <c r="K139" s="25" t="n">
        <v>0</v>
      </c>
      <c r="L139" s="25" t="n">
        <v>0</v>
      </c>
      <c r="M139" s="25" t="n">
        <v>0</v>
      </c>
      <c r="N139" s="25" t="n">
        <v>0</v>
      </c>
      <c r="O139" s="25" t="n">
        <v>0</v>
      </c>
      <c r="P139" s="21" t="n">
        <f aca="false">SUM(D139:O139)</f>
        <v>-575</v>
      </c>
      <c r="Q139" s="25" t="n">
        <f aca="false">SUM(D139:J139)</f>
        <v>-575</v>
      </c>
      <c r="R139" s="21" t="n">
        <f aca="false">P139-Q139</f>
        <v>0</v>
      </c>
    </row>
    <row r="140" customFormat="false" ht="12.75" hidden="false" customHeight="false" outlineLevel="0" collapsed="false">
      <c r="A140" s="22" t="s">
        <v>98</v>
      </c>
      <c r="C140" s="25" t="n">
        <v>0</v>
      </c>
      <c r="D140" s="25" t="n">
        <v>466</v>
      </c>
      <c r="E140" s="25" t="n">
        <v>-133</v>
      </c>
      <c r="F140" s="35" t="n">
        <f aca="false">-333-15</f>
        <v>-348</v>
      </c>
      <c r="G140" s="25" t="n">
        <v>0</v>
      </c>
      <c r="H140" s="25" t="n">
        <v>0</v>
      </c>
      <c r="I140" s="25" t="n">
        <v>0</v>
      </c>
      <c r="J140" s="25" t="n">
        <v>0</v>
      </c>
      <c r="K140" s="25" t="n">
        <v>0</v>
      </c>
      <c r="L140" s="25" t="n">
        <v>0</v>
      </c>
      <c r="M140" s="25" t="n">
        <v>0</v>
      </c>
      <c r="N140" s="25" t="n">
        <v>0</v>
      </c>
      <c r="O140" s="25" t="n">
        <v>0</v>
      </c>
      <c r="P140" s="21" t="n">
        <f aca="false">SUM(D140:O140)</f>
        <v>-15</v>
      </c>
      <c r="Q140" s="25" t="n">
        <f aca="false">SUM(D140:J140)</f>
        <v>-15</v>
      </c>
      <c r="R140" s="21" t="n">
        <f aca="false">P140-Q140</f>
        <v>0</v>
      </c>
    </row>
    <row r="141" customFormat="false" ht="12.75" hidden="false" customHeight="false" outlineLevel="0" collapsed="false">
      <c r="A141" s="22" t="s">
        <v>99</v>
      </c>
      <c r="C141" s="25" t="n">
        <v>0</v>
      </c>
      <c r="D141" s="25" t="n">
        <v>549</v>
      </c>
      <c r="E141" s="25" t="n">
        <v>100</v>
      </c>
      <c r="F141" s="25" t="n">
        <v>1</v>
      </c>
      <c r="G141" s="25" t="n">
        <v>0</v>
      </c>
      <c r="H141" s="25" t="n">
        <v>0</v>
      </c>
      <c r="I141" s="25" t="n">
        <v>0</v>
      </c>
      <c r="J141" s="25" t="n">
        <v>0</v>
      </c>
      <c r="K141" s="25" t="n">
        <v>0</v>
      </c>
      <c r="L141" s="25" t="n">
        <v>0</v>
      </c>
      <c r="M141" s="25" t="n">
        <v>0</v>
      </c>
      <c r="N141" s="25" t="n">
        <v>0</v>
      </c>
      <c r="O141" s="25" t="n">
        <v>0</v>
      </c>
      <c r="P141" s="21" t="n">
        <f aca="false">SUM(D141:O141)</f>
        <v>650</v>
      </c>
      <c r="Q141" s="25" t="n">
        <f aca="false">SUM(D141:J141)</f>
        <v>650</v>
      </c>
      <c r="R141" s="21" t="n">
        <f aca="false">P141-Q141</f>
        <v>0</v>
      </c>
    </row>
    <row r="142" customFormat="false" ht="12.75" hidden="false" customHeight="false" outlineLevel="0" collapsed="false">
      <c r="A142" s="22" t="s">
        <v>28</v>
      </c>
      <c r="C142" s="23" t="n">
        <v>0</v>
      </c>
      <c r="D142" s="23" t="n">
        <v>0</v>
      </c>
      <c r="E142" s="23" t="n">
        <v>0</v>
      </c>
      <c r="F142" s="23" t="n">
        <v>0</v>
      </c>
      <c r="G142" s="23" t="n">
        <f aca="false">-61-59</f>
        <v>-120</v>
      </c>
      <c r="H142" s="23" t="n">
        <v>0</v>
      </c>
      <c r="I142" s="23" t="n">
        <v>0</v>
      </c>
      <c r="J142" s="23" t="n">
        <v>0</v>
      </c>
      <c r="K142" s="23" t="n">
        <v>0</v>
      </c>
      <c r="L142" s="23" t="n">
        <v>0</v>
      </c>
      <c r="M142" s="23" t="n">
        <v>0</v>
      </c>
      <c r="N142" s="23" t="n">
        <v>0</v>
      </c>
      <c r="O142" s="23" t="n">
        <v>0</v>
      </c>
      <c r="P142" s="24" t="n">
        <f aca="false">SUM(D142:O142)</f>
        <v>-120</v>
      </c>
      <c r="Q142" s="23" t="n">
        <f aca="false">SUM(D142:J142)</f>
        <v>-120</v>
      </c>
      <c r="R142" s="24" t="n">
        <f aca="false">P142-Q142</f>
        <v>0</v>
      </c>
    </row>
    <row r="143" customFormat="false" ht="3.95" hidden="false" customHeight="true" outlineLevel="0" collapsed="false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customFormat="false" ht="12.75" hidden="false" customHeight="false" outlineLevel="0" collapsed="false">
      <c r="A144" s="20" t="s">
        <v>100</v>
      </c>
      <c r="C144" s="21" t="n">
        <f aca="false">SUM(C137:C143)</f>
        <v>28904</v>
      </c>
      <c r="D144" s="21" t="n">
        <f aca="false">SUM(D137:D143)</f>
        <v>34674</v>
      </c>
      <c r="E144" s="21" t="n">
        <f aca="false">SUM(E137:E143)</f>
        <v>40965</v>
      </c>
      <c r="F144" s="21" t="n">
        <f aca="false">SUM(F137:F143)</f>
        <v>38317</v>
      </c>
      <c r="G144" s="21" t="n">
        <f aca="false">SUM(G137:G143)</f>
        <v>39856</v>
      </c>
      <c r="H144" s="21" t="n">
        <f aca="false">SUM(H137:H143)</f>
        <v>27978</v>
      </c>
      <c r="I144" s="21" t="n">
        <f aca="false">SUM(I137:I143)</f>
        <v>14302</v>
      </c>
      <c r="J144" s="21" t="n">
        <f aca="false">SUM(J137:J143)</f>
        <v>12478</v>
      </c>
      <c r="K144" s="21" t="n">
        <f aca="false">SUM(K137:K143)</f>
        <v>12478</v>
      </c>
      <c r="L144" s="21" t="n">
        <f aca="false">SUM(L137:L143)</f>
        <v>12478</v>
      </c>
      <c r="M144" s="21" t="n">
        <f aca="false">SUM(M137:M143)</f>
        <v>12478</v>
      </c>
      <c r="N144" s="21" t="n">
        <f aca="false">SUM(N137:N143)</f>
        <v>12478</v>
      </c>
      <c r="O144" s="21" t="n">
        <f aca="false">SUM(O137:O143)</f>
        <v>12478</v>
      </c>
      <c r="P144" s="21"/>
    </row>
    <row r="145" customFormat="false" ht="3.95" hidden="false" customHeight="true" outlineLevel="0" collapsed="false"/>
    <row r="146" customFormat="false" ht="12.75" hidden="false" customHeight="false" outlineLevel="0" collapsed="false">
      <c r="A146" s="22" t="s">
        <v>30</v>
      </c>
      <c r="C146" s="21"/>
      <c r="D146" s="21" t="n">
        <f aca="false">D144-C144</f>
        <v>5770</v>
      </c>
      <c r="E146" s="21" t="n">
        <f aca="false">E144-D144</f>
        <v>6291</v>
      </c>
      <c r="F146" s="21" t="n">
        <f aca="false">F144-E144</f>
        <v>-2648</v>
      </c>
      <c r="G146" s="21" t="n">
        <f aca="false">G144-F144</f>
        <v>1539</v>
      </c>
      <c r="H146" s="21" t="n">
        <f aca="false">H144-G144</f>
        <v>-11878</v>
      </c>
      <c r="I146" s="21" t="n">
        <f aca="false">I144-H144</f>
        <v>-13676</v>
      </c>
      <c r="J146" s="21" t="n">
        <f aca="false">J144-I144</f>
        <v>-1824</v>
      </c>
      <c r="K146" s="21" t="n">
        <f aca="false">K144-J144</f>
        <v>0</v>
      </c>
      <c r="L146" s="21" t="n">
        <f aca="false">L144-K144</f>
        <v>0</v>
      </c>
      <c r="M146" s="21" t="n">
        <f aca="false">M144-L144</f>
        <v>0</v>
      </c>
      <c r="N146" s="21" t="n">
        <f aca="false">N144-M144</f>
        <v>0</v>
      </c>
      <c r="O146" s="21" t="n">
        <f aca="false">O144-N144</f>
        <v>0</v>
      </c>
      <c r="P146" s="21" t="n">
        <f aca="false">SUM(D146:O146)</f>
        <v>-16426</v>
      </c>
      <c r="Q146" s="21" t="n">
        <f aca="false">SUM(Q142:Q143)</f>
        <v>-120</v>
      </c>
      <c r="R146" s="21" t="n">
        <f aca="false">P146-Q146</f>
        <v>-16306</v>
      </c>
    </row>
    <row r="148" customFormat="false" ht="12.75" hidden="false" customHeight="false" outlineLevel="0" collapsed="false">
      <c r="A148" s="20" t="s">
        <v>101</v>
      </c>
      <c r="C148" s="21"/>
      <c r="D148" s="21" t="n">
        <f aca="false">C161</f>
        <v>2743864</v>
      </c>
      <c r="E148" s="21" t="n">
        <f aca="false">D161</f>
        <v>2789700</v>
      </c>
      <c r="F148" s="21" t="n">
        <f aca="false">E161</f>
        <v>2799985</v>
      </c>
      <c r="G148" s="21" t="n">
        <f aca="false">F161</f>
        <v>2802242</v>
      </c>
      <c r="H148" s="21" t="n">
        <f aca="false">G161</f>
        <v>2797139</v>
      </c>
      <c r="I148" s="21" t="n">
        <f aca="false">H161</f>
        <v>2796071</v>
      </c>
      <c r="J148" s="21" t="n">
        <f aca="false">I161</f>
        <v>2790132</v>
      </c>
      <c r="K148" s="21" t="n">
        <f aca="false">J161</f>
        <v>2774979</v>
      </c>
      <c r="L148" s="21" t="n">
        <f aca="false">K161</f>
        <v>2783475</v>
      </c>
      <c r="M148" s="21" t="n">
        <f aca="false">L161</f>
        <v>2794875</v>
      </c>
      <c r="N148" s="21" t="n">
        <f aca="false">M161</f>
        <v>2803836</v>
      </c>
      <c r="O148" s="21" t="n">
        <f aca="false">N161</f>
        <v>2812795</v>
      </c>
      <c r="P148" s="21"/>
    </row>
    <row r="149" customFormat="false" ht="12.75" hidden="false" customHeight="false" outlineLevel="0" collapsed="false">
      <c r="A149" s="22" t="s">
        <v>102</v>
      </c>
      <c r="C149" s="25"/>
      <c r="D149" s="25" t="n">
        <v>2282</v>
      </c>
      <c r="E149" s="25" t="n">
        <v>-861</v>
      </c>
      <c r="F149" s="25" t="n">
        <v>3798</v>
      </c>
      <c r="G149" s="25" t="n">
        <v>4249</v>
      </c>
      <c r="H149" s="25" t="n">
        <v>3726</v>
      </c>
      <c r="I149" s="25" t="n">
        <v>932</v>
      </c>
      <c r="J149" s="25" t="n">
        <v>5769</v>
      </c>
      <c r="K149" s="26" t="n">
        <f aca="false">7300+218+3000</f>
        <v>10518</v>
      </c>
      <c r="L149" s="25" t="n">
        <f aca="false">8400+2000+2000-1000</f>
        <v>11400</v>
      </c>
      <c r="M149" s="25" t="n">
        <f aca="false">4100+4861+2000+2000+2000-2000</f>
        <v>12961</v>
      </c>
      <c r="N149" s="25" t="n">
        <f aca="false">3300+1602+4051+1275+2000+2731-2000</f>
        <v>12959</v>
      </c>
      <c r="O149" s="25" t="n">
        <f aca="false">3400+2000+700+1168-700</f>
        <v>6568</v>
      </c>
      <c r="P149" s="21" t="n">
        <f aca="false">SUM(D149:O149)</f>
        <v>74301</v>
      </c>
      <c r="Q149" s="25" t="n">
        <f aca="false">SUM(D149:J149)</f>
        <v>19895</v>
      </c>
      <c r="R149" s="21" t="n">
        <f aca="false">P149-Q149</f>
        <v>54406</v>
      </c>
    </row>
    <row r="150" customFormat="false" ht="12.75" hidden="false" customHeight="false" outlineLevel="0" collapsed="false">
      <c r="A150" s="22" t="s">
        <v>103</v>
      </c>
      <c r="C150" s="25" t="n">
        <v>0</v>
      </c>
      <c r="D150" s="25" t="n">
        <v>0</v>
      </c>
      <c r="E150" s="25" t="n">
        <v>0</v>
      </c>
      <c r="F150" s="25" t="n">
        <v>0</v>
      </c>
      <c r="G150" s="25" t="n">
        <v>0</v>
      </c>
      <c r="H150" s="25" t="n">
        <v>0</v>
      </c>
      <c r="I150" s="25" t="n">
        <v>0</v>
      </c>
      <c r="J150" s="25" t="n">
        <v>0</v>
      </c>
      <c r="K150" s="25" t="n">
        <v>0</v>
      </c>
      <c r="L150" s="25" t="n">
        <v>0</v>
      </c>
      <c r="M150" s="25" t="n">
        <v>0</v>
      </c>
      <c r="N150" s="25" t="n">
        <v>0</v>
      </c>
      <c r="O150" s="25" t="n">
        <v>0</v>
      </c>
      <c r="P150" s="21" t="n">
        <f aca="false">SUM(D150:O150)</f>
        <v>0</v>
      </c>
      <c r="Q150" s="25" t="n">
        <f aca="false">SUM(D150:J150)</f>
        <v>0</v>
      </c>
      <c r="R150" s="21" t="n">
        <f aca="false">P150-Q150</f>
        <v>0</v>
      </c>
    </row>
    <row r="151" customFormat="false" ht="12.75" hidden="false" customHeight="false" outlineLevel="0" collapsed="false">
      <c r="A151" s="22" t="s">
        <v>104</v>
      </c>
      <c r="C151" s="25" t="n">
        <v>2002</v>
      </c>
      <c r="D151" s="25" t="n">
        <v>-2002</v>
      </c>
      <c r="E151" s="25" t="n">
        <v>0</v>
      </c>
      <c r="F151" s="25" t="n">
        <v>0</v>
      </c>
      <c r="G151" s="25" t="n">
        <v>0</v>
      </c>
      <c r="H151" s="25" t="n">
        <v>0</v>
      </c>
      <c r="I151" s="25" t="n">
        <v>0</v>
      </c>
      <c r="J151" s="25" t="n">
        <v>0</v>
      </c>
      <c r="K151" s="25" t="n">
        <v>0</v>
      </c>
      <c r="L151" s="25" t="n">
        <v>0</v>
      </c>
      <c r="M151" s="25" t="n">
        <v>0</v>
      </c>
      <c r="N151" s="25" t="n">
        <v>0</v>
      </c>
      <c r="O151" s="25" t="n">
        <v>2002</v>
      </c>
      <c r="P151" s="21" t="n">
        <f aca="false">SUM(D151:O151)</f>
        <v>0</v>
      </c>
      <c r="Q151" s="25" t="n">
        <f aca="false">SUM(D151:J151)</f>
        <v>-2002</v>
      </c>
      <c r="R151" s="21" t="n">
        <f aca="false">P151-Q151</f>
        <v>2002</v>
      </c>
    </row>
    <row r="152" customFormat="false" ht="12.75" hidden="false" customHeight="false" outlineLevel="0" collapsed="false">
      <c r="A152" s="22" t="s">
        <v>105</v>
      </c>
      <c r="D152" s="25" t="n">
        <v>0</v>
      </c>
      <c r="E152" s="25" t="n">
        <v>0</v>
      </c>
      <c r="F152" s="25" t="n">
        <v>0</v>
      </c>
      <c r="G152" s="25" t="n">
        <v>0</v>
      </c>
      <c r="H152" s="25" t="n">
        <v>0</v>
      </c>
      <c r="I152" s="25" t="n">
        <v>0</v>
      </c>
      <c r="J152" s="25" t="n">
        <v>0</v>
      </c>
      <c r="K152" s="25" t="n">
        <v>0</v>
      </c>
      <c r="L152" s="25" t="n">
        <v>0</v>
      </c>
      <c r="M152" s="25" t="n">
        <v>0</v>
      </c>
      <c r="N152" s="25" t="n">
        <v>0</v>
      </c>
      <c r="O152" s="25" t="n">
        <v>0</v>
      </c>
      <c r="P152" s="21" t="n">
        <f aca="false">SUM(D152:O152)</f>
        <v>0</v>
      </c>
      <c r="Q152" s="25" t="n">
        <f aca="false">SUM(D152:J152)</f>
        <v>0</v>
      </c>
      <c r="R152" s="21" t="n">
        <f aca="false">P152-Q152</f>
        <v>0</v>
      </c>
    </row>
    <row r="153" customFormat="false" ht="12.75" hidden="false" customHeight="false" outlineLevel="0" collapsed="false">
      <c r="A153" s="22" t="s">
        <v>106</v>
      </c>
      <c r="D153" s="25" t="n">
        <v>0</v>
      </c>
      <c r="E153" s="25" t="n">
        <v>0</v>
      </c>
      <c r="F153" s="25" t="n">
        <v>0</v>
      </c>
      <c r="G153" s="25" t="n">
        <v>0</v>
      </c>
      <c r="H153" s="25" t="n">
        <v>0</v>
      </c>
      <c r="I153" s="25" t="n">
        <v>0</v>
      </c>
      <c r="J153" s="25" t="n">
        <v>0</v>
      </c>
      <c r="K153" s="25" t="n">
        <v>0</v>
      </c>
      <c r="L153" s="25" t="n">
        <v>0</v>
      </c>
      <c r="M153" s="25" t="n">
        <v>0</v>
      </c>
      <c r="N153" s="25" t="n">
        <v>0</v>
      </c>
      <c r="O153" s="25" t="n">
        <v>0</v>
      </c>
      <c r="P153" s="21" t="n">
        <f aca="false">SUM(D153:O153)</f>
        <v>0</v>
      </c>
      <c r="Q153" s="25" t="n">
        <f aca="false">SUM(D153:J153)</f>
        <v>0</v>
      </c>
      <c r="R153" s="21" t="n">
        <f aca="false">P153-Q153</f>
        <v>0</v>
      </c>
    </row>
    <row r="154" customFormat="false" ht="12.75" hidden="false" customHeight="false" outlineLevel="0" collapsed="false">
      <c r="A154" s="22" t="s">
        <v>107</v>
      </c>
      <c r="D154" s="25" t="n">
        <v>0</v>
      </c>
      <c r="E154" s="25" t="n">
        <v>0</v>
      </c>
      <c r="F154" s="25" t="n">
        <v>0</v>
      </c>
      <c r="G154" s="25" t="n">
        <v>0</v>
      </c>
      <c r="H154" s="25" t="n">
        <v>0</v>
      </c>
      <c r="I154" s="25" t="n">
        <v>0</v>
      </c>
      <c r="J154" s="25" t="n">
        <v>0</v>
      </c>
      <c r="K154" s="25" t="n">
        <v>0</v>
      </c>
      <c r="L154" s="25" t="n">
        <v>0</v>
      </c>
      <c r="M154" s="25" t="n">
        <v>0</v>
      </c>
      <c r="N154" s="25" t="n">
        <v>0</v>
      </c>
      <c r="O154" s="25" t="n">
        <v>0</v>
      </c>
      <c r="P154" s="21" t="n">
        <f aca="false">SUM(D154:O154)</f>
        <v>0</v>
      </c>
      <c r="Q154" s="25" t="n">
        <f aca="false">SUM(D154:J154)</f>
        <v>0</v>
      </c>
      <c r="R154" s="21" t="n">
        <f aca="false">P154-Q154</f>
        <v>0</v>
      </c>
    </row>
    <row r="155" customFormat="false" ht="12.75" hidden="false" customHeight="false" outlineLevel="0" collapsed="false">
      <c r="A155" s="22" t="s">
        <v>108</v>
      </c>
      <c r="D155" s="25" t="n">
        <v>0</v>
      </c>
      <c r="E155" s="25" t="n">
        <v>0</v>
      </c>
      <c r="F155" s="25" t="n">
        <v>0</v>
      </c>
      <c r="G155" s="25" t="n">
        <v>0</v>
      </c>
      <c r="H155" s="25" t="n">
        <v>0</v>
      </c>
      <c r="I155" s="25" t="n">
        <v>0</v>
      </c>
      <c r="J155" s="25" t="n">
        <v>0</v>
      </c>
      <c r="K155" s="25" t="n">
        <v>0</v>
      </c>
      <c r="L155" s="25" t="n">
        <v>0</v>
      </c>
      <c r="M155" s="25" t="n">
        <v>0</v>
      </c>
      <c r="N155" s="25" t="n">
        <v>0</v>
      </c>
      <c r="O155" s="25" t="n">
        <v>0</v>
      </c>
      <c r="P155" s="21" t="n">
        <f aca="false">SUM(D155:O155)</f>
        <v>0</v>
      </c>
      <c r="Q155" s="25" t="n">
        <f aca="false">SUM(D155:J155)</f>
        <v>0</v>
      </c>
      <c r="R155" s="21" t="n">
        <f aca="false">P155-Q155</f>
        <v>0</v>
      </c>
    </row>
    <row r="156" customFormat="false" ht="12.75" hidden="false" customHeight="false" outlineLevel="0" collapsed="false">
      <c r="A156" s="22" t="s">
        <v>109</v>
      </c>
      <c r="D156" s="25" t="n">
        <v>0</v>
      </c>
      <c r="E156" s="25" t="n">
        <v>0</v>
      </c>
      <c r="F156" s="25" t="n">
        <v>0</v>
      </c>
      <c r="G156" s="25" t="n">
        <v>0</v>
      </c>
      <c r="H156" s="25" t="n">
        <v>0</v>
      </c>
      <c r="I156" s="25" t="n">
        <v>0</v>
      </c>
      <c r="J156" s="25" t="n">
        <v>0</v>
      </c>
      <c r="K156" s="25" t="n">
        <v>0</v>
      </c>
      <c r="L156" s="25" t="n">
        <v>0</v>
      </c>
      <c r="M156" s="25" t="n">
        <v>0</v>
      </c>
      <c r="N156" s="25" t="n">
        <v>0</v>
      </c>
      <c r="O156" s="25" t="n">
        <v>0</v>
      </c>
      <c r="P156" s="21" t="n">
        <f aca="false">SUM(D156:O156)</f>
        <v>0</v>
      </c>
      <c r="Q156" s="25" t="n">
        <f aca="false">SUM(D156:J156)</f>
        <v>0</v>
      </c>
      <c r="R156" s="21" t="n">
        <f aca="false">P156-Q156</f>
        <v>0</v>
      </c>
    </row>
    <row r="157" customFormat="false" ht="12.75" hidden="false" customHeight="false" outlineLevel="0" collapsed="false">
      <c r="A157" s="22" t="s">
        <v>110</v>
      </c>
      <c r="C157" s="25" t="n">
        <v>-41594</v>
      </c>
      <c r="D157" s="25" t="n">
        <v>45815</v>
      </c>
      <c r="E157" s="26" t="n">
        <f aca="false">11184-38</f>
        <v>11146</v>
      </c>
      <c r="F157" s="25" t="n">
        <f aca="false">-1541</f>
        <v>-1541</v>
      </c>
      <c r="G157" s="25" t="n">
        <v>-9352</v>
      </c>
      <c r="H157" s="36" t="n">
        <v>-4794</v>
      </c>
      <c r="I157" s="36" t="n">
        <v>-4071</v>
      </c>
      <c r="J157" s="36" t="n">
        <v>-3220</v>
      </c>
      <c r="K157" s="36" t="n">
        <v>-2022</v>
      </c>
      <c r="L157" s="25" t="n">
        <v>0</v>
      </c>
      <c r="M157" s="25" t="n">
        <v>-4000</v>
      </c>
      <c r="N157" s="25" t="n">
        <v>-4000</v>
      </c>
      <c r="O157" s="25" t="n">
        <v>-4000</v>
      </c>
      <c r="P157" s="21" t="n">
        <f aca="false">SUM(D157:O157)</f>
        <v>19961</v>
      </c>
      <c r="Q157" s="25" t="n">
        <f aca="false">SUM(D157:J157)</f>
        <v>33983</v>
      </c>
      <c r="R157" s="21" t="n">
        <f aca="false">P157-Q157</f>
        <v>-14022</v>
      </c>
    </row>
    <row r="158" customFormat="false" ht="12.75" hidden="false" customHeight="false" outlineLevel="0" collapsed="false">
      <c r="A158" s="22" t="s">
        <v>111</v>
      </c>
      <c r="D158" s="25" t="n">
        <v>-259</v>
      </c>
      <c r="E158" s="25" t="n">
        <v>0</v>
      </c>
      <c r="F158" s="25" t="n">
        <v>0</v>
      </c>
      <c r="G158" s="25" t="n">
        <v>0</v>
      </c>
      <c r="H158" s="25" t="n">
        <v>0</v>
      </c>
      <c r="I158" s="25" t="n">
        <v>-2800</v>
      </c>
      <c r="J158" s="25" t="n">
        <v>-17702</v>
      </c>
      <c r="K158" s="25" t="n">
        <v>0</v>
      </c>
      <c r="L158" s="25" t="n">
        <v>0</v>
      </c>
      <c r="M158" s="25" t="n">
        <v>0</v>
      </c>
      <c r="N158" s="25" t="n">
        <v>0</v>
      </c>
      <c r="O158" s="25" t="n">
        <v>0</v>
      </c>
      <c r="P158" s="21" t="n">
        <f aca="false">SUM(D158:O158)</f>
        <v>-20761</v>
      </c>
      <c r="Q158" s="25" t="n">
        <f aca="false">SUM(D158:J158)</f>
        <v>-20761</v>
      </c>
      <c r="R158" s="21" t="n">
        <f aca="false">P158-Q158</f>
        <v>0</v>
      </c>
    </row>
    <row r="159" customFormat="false" ht="12.75" hidden="false" customHeight="false" outlineLevel="0" collapsed="false">
      <c r="A159" s="22" t="s">
        <v>28</v>
      </c>
      <c r="C159" s="23" t="n">
        <v>0</v>
      </c>
      <c r="D159" s="23" t="n">
        <v>0</v>
      </c>
      <c r="E159" s="23" t="n">
        <v>0</v>
      </c>
      <c r="F159" s="23" t="n">
        <v>0</v>
      </c>
      <c r="G159" s="23" t="n">
        <v>0</v>
      </c>
      <c r="H159" s="23" t="n">
        <v>0</v>
      </c>
      <c r="I159" s="23" t="n">
        <v>0</v>
      </c>
      <c r="J159" s="23" t="n">
        <v>0</v>
      </c>
      <c r="K159" s="23" t="n">
        <v>0</v>
      </c>
      <c r="L159" s="23" t="n">
        <v>0</v>
      </c>
      <c r="M159" s="23" t="n">
        <v>0</v>
      </c>
      <c r="N159" s="23" t="n">
        <v>0</v>
      </c>
      <c r="O159" s="23" t="n">
        <v>0</v>
      </c>
      <c r="P159" s="24" t="n">
        <f aca="false">SUM(D159:O159)</f>
        <v>0</v>
      </c>
      <c r="Q159" s="23" t="n">
        <f aca="false">SUM(D159:J159)</f>
        <v>0</v>
      </c>
      <c r="R159" s="24" t="n">
        <f aca="false">P159-Q159</f>
        <v>0</v>
      </c>
    </row>
    <row r="160" customFormat="false" ht="3.95" hidden="false" customHeight="true" outlineLevel="0" collapsed="false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customFormat="false" ht="12.75" hidden="false" customHeight="false" outlineLevel="0" collapsed="false">
      <c r="A161" s="20" t="s">
        <v>112</v>
      </c>
      <c r="C161" s="25" t="n">
        <v>2743864</v>
      </c>
      <c r="D161" s="21" t="n">
        <f aca="false">SUM(D148:D160)</f>
        <v>2789700</v>
      </c>
      <c r="E161" s="21" t="n">
        <f aca="false">SUM(E148:E160)</f>
        <v>2799985</v>
      </c>
      <c r="F161" s="21" t="n">
        <f aca="false">SUM(F148:F160)</f>
        <v>2802242</v>
      </c>
      <c r="G161" s="21" t="n">
        <f aca="false">SUM(G148:G160)</f>
        <v>2797139</v>
      </c>
      <c r="H161" s="21" t="n">
        <f aca="false">SUM(H148:H160)</f>
        <v>2796071</v>
      </c>
      <c r="I161" s="21" t="n">
        <f aca="false">SUM(I148:I160)</f>
        <v>2790132</v>
      </c>
      <c r="J161" s="21" t="n">
        <f aca="false">SUM(J148:J160)</f>
        <v>2774979</v>
      </c>
      <c r="K161" s="21" t="n">
        <f aca="false">SUM(K148:K160)</f>
        <v>2783475</v>
      </c>
      <c r="L161" s="21" t="n">
        <f aca="false">SUM(L148:L160)</f>
        <v>2794875</v>
      </c>
      <c r="M161" s="21" t="n">
        <f aca="false">SUM(M148:M160)</f>
        <v>2803836</v>
      </c>
      <c r="N161" s="21" t="n">
        <f aca="false">SUM(N148:N160)</f>
        <v>2812795</v>
      </c>
      <c r="O161" s="21" t="n">
        <f aca="false">SUM(O148:O160)</f>
        <v>2817365</v>
      </c>
      <c r="P161" s="21"/>
    </row>
    <row r="162" customFormat="false" ht="3.95" hidden="false" customHeight="true" outlineLevel="0" collapsed="false"/>
    <row r="163" customFormat="false" ht="12.75" hidden="false" customHeight="false" outlineLevel="0" collapsed="false">
      <c r="A163" s="22" t="s">
        <v>30</v>
      </c>
      <c r="C163" s="21"/>
      <c r="D163" s="21" t="n">
        <f aca="false">D161-C161</f>
        <v>45836</v>
      </c>
      <c r="E163" s="21" t="n">
        <f aca="false">E161-D161</f>
        <v>10285</v>
      </c>
      <c r="F163" s="21" t="n">
        <f aca="false">F161-E161</f>
        <v>2257</v>
      </c>
      <c r="G163" s="21" t="n">
        <f aca="false">G161-F161</f>
        <v>-5103</v>
      </c>
      <c r="H163" s="21" t="n">
        <f aca="false">H161-G161</f>
        <v>-1068</v>
      </c>
      <c r="I163" s="21" t="n">
        <f aca="false">I161-H161</f>
        <v>-5939</v>
      </c>
      <c r="J163" s="21" t="n">
        <f aca="false">J161-I161</f>
        <v>-15153</v>
      </c>
      <c r="K163" s="21" t="n">
        <f aca="false">K161-J161</f>
        <v>8496</v>
      </c>
      <c r="L163" s="21" t="n">
        <f aca="false">L161-K161</f>
        <v>11400</v>
      </c>
      <c r="M163" s="21" t="n">
        <f aca="false">M161-L161</f>
        <v>8961</v>
      </c>
      <c r="N163" s="21" t="n">
        <f aca="false">N161-M161</f>
        <v>8959</v>
      </c>
      <c r="O163" s="21" t="n">
        <f aca="false">O161-N161</f>
        <v>4570</v>
      </c>
      <c r="P163" s="21" t="n">
        <f aca="false">SUM(D163:O163)</f>
        <v>73501</v>
      </c>
      <c r="Q163" s="21" t="n">
        <f aca="false">SUM(Q149:Q160)</f>
        <v>31115</v>
      </c>
      <c r="R163" s="21" t="n">
        <f aca="false">P163-Q163</f>
        <v>42386</v>
      </c>
    </row>
    <row r="165" customFormat="false" ht="12.75" hidden="false" customHeight="false" outlineLevel="0" collapsed="false">
      <c r="A165" s="20" t="s">
        <v>113</v>
      </c>
      <c r="C165" s="21"/>
      <c r="D165" s="21" t="n">
        <f aca="false">C176</f>
        <v>1442835</v>
      </c>
      <c r="E165" s="21" t="n">
        <f aca="false">D176</f>
        <v>1446637</v>
      </c>
      <c r="F165" s="21" t="n">
        <f aca="false">E176</f>
        <v>1450495</v>
      </c>
      <c r="G165" s="21" t="n">
        <f aca="false">F176</f>
        <v>1454095</v>
      </c>
      <c r="H165" s="21" t="n">
        <f aca="false">G176</f>
        <v>1457697</v>
      </c>
      <c r="I165" s="21" t="n">
        <f aca="false">H176</f>
        <v>1463022</v>
      </c>
      <c r="J165" s="21" t="n">
        <f aca="false">I176</f>
        <v>1464768</v>
      </c>
      <c r="K165" s="21" t="n">
        <f aca="false">J176</f>
        <v>1450869</v>
      </c>
      <c r="L165" s="21" t="n">
        <f aca="false">K176</f>
        <v>1454669</v>
      </c>
      <c r="M165" s="21" t="n">
        <f aca="false">L176</f>
        <v>1458514</v>
      </c>
      <c r="N165" s="21" t="n">
        <f aca="false">M176</f>
        <v>1463659</v>
      </c>
      <c r="O165" s="21" t="n">
        <f aca="false">N176</f>
        <v>1467554</v>
      </c>
      <c r="P165" s="21"/>
    </row>
    <row r="166" customFormat="false" ht="12.75" hidden="false" customHeight="false" outlineLevel="0" collapsed="false">
      <c r="A166" s="22" t="s">
        <v>114</v>
      </c>
      <c r="B166" s="27" t="s">
        <v>34</v>
      </c>
      <c r="C166" s="21"/>
      <c r="D166" s="21" t="n">
        <f aca="false">[1]Source!D37</f>
        <v>2731</v>
      </c>
      <c r="E166" s="21" t="n">
        <f aca="false">[1]Source!E37</f>
        <v>2675</v>
      </c>
      <c r="F166" s="21" t="n">
        <f aca="false">[1]Source!F37</f>
        <v>2871</v>
      </c>
      <c r="G166" s="30" t="n">
        <f aca="false">[1]Source!G37-1</f>
        <v>2719</v>
      </c>
      <c r="H166" s="21" t="n">
        <f aca="false">[1]Source!H37</f>
        <v>2665</v>
      </c>
      <c r="I166" s="21" t="n">
        <f aca="false">[1]Source!I37</f>
        <v>2909</v>
      </c>
      <c r="J166" s="31" t="n">
        <f aca="false">[1]Source!J37</f>
        <v>2761</v>
      </c>
      <c r="K166" s="21" t="n">
        <f aca="false">[1]Source!K37</f>
        <v>2765</v>
      </c>
      <c r="L166" s="21" t="n">
        <f aca="false">[1]Source!L37</f>
        <v>2775</v>
      </c>
      <c r="M166" s="21" t="n">
        <f aca="false">[1]Source!M37</f>
        <v>4076</v>
      </c>
      <c r="N166" s="21" t="n">
        <f aca="false">[1]Source!N37</f>
        <v>3317</v>
      </c>
      <c r="O166" s="21" t="n">
        <f aca="false">[1]Source!O37</f>
        <v>3368</v>
      </c>
      <c r="P166" s="21" t="n">
        <f aca="false">SUM(D166:O166)</f>
        <v>35632</v>
      </c>
      <c r="Q166" s="25" t="n">
        <f aca="false">SUM(D166:J166)</f>
        <v>19331</v>
      </c>
      <c r="R166" s="21" t="n">
        <f aca="false">P166-Q166</f>
        <v>16301</v>
      </c>
    </row>
    <row r="167" customFormat="false" ht="12.75" hidden="false" customHeight="false" outlineLevel="0" collapsed="false">
      <c r="A167" s="22" t="s">
        <v>115</v>
      </c>
      <c r="B167" s="27" t="s">
        <v>34</v>
      </c>
      <c r="C167" s="21"/>
      <c r="D167" s="32" t="n">
        <f aca="false">-[1]Source!D38+D119</f>
        <v>1082</v>
      </c>
      <c r="E167" s="32" t="n">
        <f aca="false">-[1]Source!E38+E119</f>
        <v>1150</v>
      </c>
      <c r="F167" s="32" t="n">
        <f aca="false">-[1]Source!F38+F119</f>
        <v>1001</v>
      </c>
      <c r="G167" s="32" t="n">
        <f aca="false">-[1]Source!G38+G119</f>
        <v>1063</v>
      </c>
      <c r="H167" s="32" t="n">
        <f aca="false">-[1]Source!H38+H119</f>
        <v>1062</v>
      </c>
      <c r="I167" s="32" t="n">
        <f aca="false">-[1]Source!I38+I119</f>
        <v>1062</v>
      </c>
      <c r="J167" s="32" t="n">
        <f aca="false">-[1]Source!J38+J119</f>
        <v>1062</v>
      </c>
      <c r="K167" s="32" t="n">
        <f aca="false">-[1]Source!K38+K119</f>
        <v>1062</v>
      </c>
      <c r="L167" s="32" t="n">
        <f aca="false">-[1]Source!L38+L119</f>
        <v>1097</v>
      </c>
      <c r="M167" s="32" t="n">
        <f aca="false">-[1]Source!M38+M119</f>
        <v>1096</v>
      </c>
      <c r="N167" s="32" t="n">
        <f aca="false">-[1]Source!N38+N119</f>
        <v>605</v>
      </c>
      <c r="O167" s="32" t="n">
        <f aca="false">-[1]Source!O38+O119</f>
        <v>604</v>
      </c>
      <c r="P167" s="21" t="n">
        <f aca="false">SUM(D167:O167)</f>
        <v>11946</v>
      </c>
      <c r="Q167" s="25" t="n">
        <f aca="false">SUM(D167:J167)</f>
        <v>7482</v>
      </c>
      <c r="R167" s="21" t="n">
        <f aca="false">P167-Q167</f>
        <v>4464</v>
      </c>
    </row>
    <row r="168" customFormat="false" ht="12.75" hidden="false" customHeight="false" outlineLevel="0" collapsed="false">
      <c r="A168" s="22" t="s">
        <v>116</v>
      </c>
      <c r="C168" s="21"/>
      <c r="D168" s="25" t="n">
        <v>4</v>
      </c>
      <c r="E168" s="25" t="n">
        <v>11</v>
      </c>
      <c r="F168" s="25" t="n">
        <v>-247</v>
      </c>
      <c r="G168" s="25" t="n">
        <v>-108</v>
      </c>
      <c r="H168" s="25" t="n">
        <f aca="false">1508+117</f>
        <v>1625</v>
      </c>
      <c r="I168" s="25" t="n">
        <v>-2198</v>
      </c>
      <c r="J168" s="25" t="n">
        <v>8</v>
      </c>
      <c r="K168" s="25" t="n">
        <v>0</v>
      </c>
      <c r="L168" s="25" t="n">
        <v>0</v>
      </c>
      <c r="M168" s="25" t="n">
        <v>0</v>
      </c>
      <c r="N168" s="25" t="n">
        <v>0</v>
      </c>
      <c r="O168" s="25" t="n">
        <v>0</v>
      </c>
      <c r="P168" s="21" t="n">
        <f aca="false">SUM(D168:O168)</f>
        <v>-905</v>
      </c>
      <c r="Q168" s="25" t="n">
        <f aca="false">SUM(D168:J168)</f>
        <v>-905</v>
      </c>
      <c r="R168" s="21" t="n">
        <f aca="false">P168-Q168</f>
        <v>0</v>
      </c>
    </row>
    <row r="169" customFormat="false" ht="12.75" hidden="false" customHeight="false" outlineLevel="0" collapsed="false">
      <c r="A169" s="22" t="s">
        <v>117</v>
      </c>
      <c r="D169" s="25" t="n">
        <v>0</v>
      </c>
      <c r="E169" s="25" t="n">
        <v>0</v>
      </c>
      <c r="F169" s="25" t="n">
        <v>0</v>
      </c>
      <c r="G169" s="25" t="n">
        <v>0</v>
      </c>
      <c r="H169" s="25" t="n">
        <v>0</v>
      </c>
      <c r="I169" s="25" t="n">
        <v>0</v>
      </c>
      <c r="J169" s="25" t="n">
        <v>0</v>
      </c>
      <c r="K169" s="25" t="n">
        <v>0</v>
      </c>
      <c r="L169" s="25" t="n">
        <v>0</v>
      </c>
      <c r="M169" s="25" t="n">
        <v>0</v>
      </c>
      <c r="N169" s="25" t="n">
        <v>0</v>
      </c>
      <c r="O169" s="25" t="n">
        <v>0</v>
      </c>
      <c r="P169" s="21" t="n">
        <f aca="false">SUM(D169:O169)</f>
        <v>0</v>
      </c>
      <c r="Q169" s="25" t="n">
        <f aca="false">SUM(D169:J169)</f>
        <v>0</v>
      </c>
      <c r="R169" s="21" t="n">
        <f aca="false">P169-Q169</f>
        <v>0</v>
      </c>
    </row>
    <row r="170" customFormat="false" ht="12.75" hidden="false" customHeight="false" outlineLevel="0" collapsed="false">
      <c r="A170" s="22" t="s">
        <v>118</v>
      </c>
      <c r="D170" s="25" t="n">
        <v>0</v>
      </c>
      <c r="E170" s="25" t="n">
        <v>0</v>
      </c>
      <c r="F170" s="25" t="n">
        <v>0</v>
      </c>
      <c r="G170" s="25" t="n">
        <v>0</v>
      </c>
      <c r="H170" s="25" t="n">
        <v>0</v>
      </c>
      <c r="I170" s="25" t="n">
        <v>0</v>
      </c>
      <c r="J170" s="25" t="n">
        <v>0</v>
      </c>
      <c r="K170" s="25" t="n">
        <v>0</v>
      </c>
      <c r="L170" s="25" t="n">
        <v>0</v>
      </c>
      <c r="M170" s="25" t="n">
        <v>0</v>
      </c>
      <c r="N170" s="25" t="n">
        <v>0</v>
      </c>
      <c r="O170" s="25" t="n">
        <v>0</v>
      </c>
      <c r="P170" s="21" t="n">
        <f aca="false">SUM(D170:O170)</f>
        <v>0</v>
      </c>
      <c r="Q170" s="25" t="n">
        <f aca="false">SUM(D170:J170)</f>
        <v>0</v>
      </c>
      <c r="R170" s="21" t="n">
        <f aca="false">P170-Q170</f>
        <v>0</v>
      </c>
    </row>
    <row r="171" customFormat="false" ht="12.75" hidden="false" customHeight="false" outlineLevel="0" collapsed="false">
      <c r="A171" s="22" t="s">
        <v>119</v>
      </c>
      <c r="D171" s="32" t="n">
        <f aca="false">D156+D228</f>
        <v>-23</v>
      </c>
      <c r="E171" s="32" t="n">
        <f aca="false">E156+E228</f>
        <v>22</v>
      </c>
      <c r="F171" s="32" t="n">
        <f aca="false">F156+F228</f>
        <v>-25</v>
      </c>
      <c r="G171" s="32" t="n">
        <f aca="false">G156+G228</f>
        <v>-72</v>
      </c>
      <c r="H171" s="32" t="n">
        <f aca="false">H156+H228</f>
        <v>-27</v>
      </c>
      <c r="I171" s="32" t="n">
        <f aca="false">I156+I228</f>
        <v>-27</v>
      </c>
      <c r="J171" s="32" t="n">
        <f aca="false">J156+J228</f>
        <v>-27</v>
      </c>
      <c r="K171" s="32" t="n">
        <f aca="false">K156+K228</f>
        <v>-27</v>
      </c>
      <c r="L171" s="32" t="n">
        <f aca="false">L156+L228</f>
        <v>-27</v>
      </c>
      <c r="M171" s="32" t="n">
        <f aca="false">M156+M228</f>
        <v>-27</v>
      </c>
      <c r="N171" s="32" t="n">
        <f aca="false">N156+N228</f>
        <v>-27</v>
      </c>
      <c r="O171" s="32" t="n">
        <f aca="false">O156+O228</f>
        <v>-27</v>
      </c>
      <c r="P171" s="21" t="n">
        <f aca="false">SUM(D171:O171)</f>
        <v>-314</v>
      </c>
      <c r="Q171" s="25" t="n">
        <f aca="false">SUM(D171:J171)</f>
        <v>-179</v>
      </c>
      <c r="R171" s="21" t="n">
        <f aca="false">P171-Q171</f>
        <v>-135</v>
      </c>
    </row>
    <row r="172" customFormat="false" ht="12.75" hidden="false" customHeight="false" outlineLevel="0" collapsed="false">
      <c r="A172" s="22" t="s">
        <v>120</v>
      </c>
      <c r="D172" s="25" t="n">
        <v>0</v>
      </c>
      <c r="E172" s="25" t="n">
        <v>0</v>
      </c>
      <c r="F172" s="25" t="n">
        <v>0</v>
      </c>
      <c r="G172" s="25" t="n">
        <v>0</v>
      </c>
      <c r="H172" s="25" t="n">
        <v>0</v>
      </c>
      <c r="I172" s="25" t="n">
        <v>0</v>
      </c>
      <c r="J172" s="25" t="n">
        <v>0</v>
      </c>
      <c r="K172" s="25" t="n">
        <v>0</v>
      </c>
      <c r="L172" s="25" t="n">
        <v>0</v>
      </c>
      <c r="M172" s="25" t="n">
        <v>0</v>
      </c>
      <c r="N172" s="25" t="n">
        <v>0</v>
      </c>
      <c r="O172" s="25" t="n">
        <v>0</v>
      </c>
      <c r="P172" s="21" t="n">
        <f aca="false">SUM(D172:O172)</f>
        <v>0</v>
      </c>
      <c r="Q172" s="25" t="n">
        <f aca="false">SUM(D172:J172)</f>
        <v>0</v>
      </c>
      <c r="R172" s="21" t="n">
        <f aca="false">P172-Q172</f>
        <v>0</v>
      </c>
    </row>
    <row r="173" customFormat="false" ht="12.75" hidden="false" customHeight="false" outlineLevel="0" collapsed="false">
      <c r="A173" s="22" t="s">
        <v>121</v>
      </c>
      <c r="D173" s="30" t="n">
        <f aca="false">D158+267</f>
        <v>8</v>
      </c>
      <c r="E173" s="21" t="n">
        <f aca="false">E158</f>
        <v>0</v>
      </c>
      <c r="F173" s="21" t="n">
        <f aca="false">F158</f>
        <v>0</v>
      </c>
      <c r="G173" s="21" t="n">
        <f aca="false">G158</f>
        <v>0</v>
      </c>
      <c r="H173" s="21" t="n">
        <f aca="false">H158</f>
        <v>0</v>
      </c>
      <c r="I173" s="37" t="n">
        <f aca="false">I158+2800</f>
        <v>0</v>
      </c>
      <c r="J173" s="37" t="n">
        <f aca="false">J158-1</f>
        <v>-17703</v>
      </c>
      <c r="K173" s="21" t="n">
        <f aca="false">K158</f>
        <v>0</v>
      </c>
      <c r="L173" s="21" t="n">
        <f aca="false">L158</f>
        <v>0</v>
      </c>
      <c r="M173" s="21" t="n">
        <f aca="false">M158</f>
        <v>0</v>
      </c>
      <c r="N173" s="21" t="n">
        <f aca="false">N158</f>
        <v>0</v>
      </c>
      <c r="O173" s="37" t="n">
        <f aca="false">O158-1800+1800</f>
        <v>0</v>
      </c>
      <c r="P173" s="21" t="n">
        <f aca="false">SUM(D173:O173)</f>
        <v>-17695</v>
      </c>
      <c r="Q173" s="25" t="n">
        <f aca="false">SUM(D173:J173)</f>
        <v>-17695</v>
      </c>
      <c r="R173" s="21" t="n">
        <f aca="false">P173-Q173</f>
        <v>0</v>
      </c>
    </row>
    <row r="174" customFormat="false" ht="12.75" hidden="false" customHeight="false" outlineLevel="0" collapsed="false">
      <c r="A174" s="22" t="s">
        <v>28</v>
      </c>
      <c r="C174" s="23" t="n">
        <v>0</v>
      </c>
      <c r="D174" s="23" t="n">
        <v>0</v>
      </c>
      <c r="E174" s="23" t="n">
        <v>0</v>
      </c>
      <c r="F174" s="23" t="n">
        <v>0</v>
      </c>
      <c r="G174" s="23" t="n">
        <v>0</v>
      </c>
      <c r="H174" s="23" t="n">
        <v>0</v>
      </c>
      <c r="I174" s="23" t="n">
        <v>0</v>
      </c>
      <c r="J174" s="23" t="n">
        <v>0</v>
      </c>
      <c r="K174" s="23" t="n">
        <v>0</v>
      </c>
      <c r="L174" s="23" t="n">
        <v>0</v>
      </c>
      <c r="M174" s="23" t="n">
        <v>0</v>
      </c>
      <c r="N174" s="23" t="n">
        <v>0</v>
      </c>
      <c r="O174" s="23" t="n">
        <v>0</v>
      </c>
      <c r="P174" s="24" t="n">
        <f aca="false">SUM(D174:O174)</f>
        <v>0</v>
      </c>
      <c r="Q174" s="23" t="n">
        <f aca="false">SUM(D174:J174)</f>
        <v>0</v>
      </c>
      <c r="R174" s="24" t="n">
        <f aca="false">P174-Q174</f>
        <v>0</v>
      </c>
    </row>
    <row r="175" customFormat="false" ht="3.95" hidden="false" customHeight="true" outlineLevel="0" collapsed="false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customFormat="false" ht="12.75" hidden="false" customHeight="false" outlineLevel="0" collapsed="false">
      <c r="A176" s="20" t="s">
        <v>122</v>
      </c>
      <c r="C176" s="25" t="n">
        <v>1442835</v>
      </c>
      <c r="D176" s="21" t="n">
        <f aca="false">SUM(D165:D175)</f>
        <v>1446637</v>
      </c>
      <c r="E176" s="21" t="n">
        <f aca="false">SUM(E165:E175)</f>
        <v>1450495</v>
      </c>
      <c r="F176" s="21" t="n">
        <f aca="false">SUM(F165:F175)</f>
        <v>1454095</v>
      </c>
      <c r="G176" s="21" t="n">
        <f aca="false">SUM(G165:G175)</f>
        <v>1457697</v>
      </c>
      <c r="H176" s="21" t="n">
        <f aca="false">SUM(H165:H175)</f>
        <v>1463022</v>
      </c>
      <c r="I176" s="21" t="n">
        <f aca="false">SUM(I165:I175)</f>
        <v>1464768</v>
      </c>
      <c r="J176" s="21" t="n">
        <f aca="false">SUM(J165:J175)</f>
        <v>1450869</v>
      </c>
      <c r="K176" s="21" t="n">
        <f aca="false">SUM(K165:K175)</f>
        <v>1454669</v>
      </c>
      <c r="L176" s="21" t="n">
        <f aca="false">SUM(L165:L175)</f>
        <v>1458514</v>
      </c>
      <c r="M176" s="21" t="n">
        <f aca="false">SUM(M165:M175)</f>
        <v>1463659</v>
      </c>
      <c r="N176" s="21" t="n">
        <f aca="false">SUM(N165:N175)</f>
        <v>1467554</v>
      </c>
      <c r="O176" s="21" t="n">
        <f aca="false">SUM(O165:O175)</f>
        <v>1471499</v>
      </c>
      <c r="P176" s="21"/>
    </row>
    <row r="177" customFormat="false" ht="3.95" hidden="false" customHeight="true" outlineLevel="0" collapsed="false"/>
    <row r="178" customFormat="false" ht="12.75" hidden="false" customHeight="false" outlineLevel="0" collapsed="false">
      <c r="A178" s="22" t="s">
        <v>30</v>
      </c>
      <c r="C178" s="21"/>
      <c r="D178" s="21" t="n">
        <f aca="false">D176-C176</f>
        <v>3802</v>
      </c>
      <c r="E178" s="21" t="n">
        <f aca="false">E176-D176</f>
        <v>3858</v>
      </c>
      <c r="F178" s="21" t="n">
        <f aca="false">F176-E176</f>
        <v>3600</v>
      </c>
      <c r="G178" s="21" t="n">
        <f aca="false">G176-F176</f>
        <v>3602</v>
      </c>
      <c r="H178" s="21" t="n">
        <f aca="false">H176-G176</f>
        <v>5325</v>
      </c>
      <c r="I178" s="21" t="n">
        <f aca="false">I176-H176</f>
        <v>1746</v>
      </c>
      <c r="J178" s="21" t="n">
        <f aca="false">J176-I176</f>
        <v>-13899</v>
      </c>
      <c r="K178" s="21" t="n">
        <f aca="false">K176-J176</f>
        <v>3800</v>
      </c>
      <c r="L178" s="21" t="n">
        <f aca="false">L176-K176</f>
        <v>3845</v>
      </c>
      <c r="M178" s="21" t="n">
        <f aca="false">M176-L176</f>
        <v>5145</v>
      </c>
      <c r="N178" s="21" t="n">
        <f aca="false">N176-M176</f>
        <v>3895</v>
      </c>
      <c r="O178" s="21" t="n">
        <f aca="false">O176-N176</f>
        <v>3945</v>
      </c>
      <c r="P178" s="21" t="n">
        <f aca="false">SUM(D178:O178)</f>
        <v>28664</v>
      </c>
      <c r="Q178" s="21" t="n">
        <f aca="false">SUM(Q166:Q175)</f>
        <v>8034</v>
      </c>
      <c r="R178" s="21" t="n">
        <f aca="false">P178-Q178</f>
        <v>20630</v>
      </c>
    </row>
    <row r="180" customFormat="false" ht="12.75" hidden="false" customHeight="false" outlineLevel="0" collapsed="false">
      <c r="A180" s="20" t="s">
        <v>123</v>
      </c>
      <c r="C180" s="21"/>
      <c r="D180" s="21" t="n">
        <f aca="false">C184</f>
        <v>0</v>
      </c>
      <c r="E180" s="21" t="n">
        <f aca="false">D184</f>
        <v>0</v>
      </c>
      <c r="F180" s="21" t="n">
        <f aca="false">E184</f>
        <v>0</v>
      </c>
      <c r="G180" s="21" t="n">
        <f aca="false">F184</f>
        <v>0</v>
      </c>
      <c r="H180" s="21" t="n">
        <f aca="false">G184</f>
        <v>0</v>
      </c>
      <c r="I180" s="21" t="n">
        <f aca="false">H184</f>
        <v>0</v>
      </c>
      <c r="J180" s="21" t="n">
        <f aca="false">I184</f>
        <v>0</v>
      </c>
      <c r="K180" s="21" t="n">
        <f aca="false">J184</f>
        <v>0</v>
      </c>
      <c r="L180" s="21" t="n">
        <f aca="false">K184</f>
        <v>0</v>
      </c>
      <c r="M180" s="21" t="n">
        <f aca="false">L184</f>
        <v>0</v>
      </c>
      <c r="N180" s="21" t="n">
        <f aca="false">M184</f>
        <v>0</v>
      </c>
      <c r="O180" s="21" t="n">
        <f aca="false">N184</f>
        <v>0</v>
      </c>
      <c r="P180" s="21"/>
    </row>
    <row r="181" customFormat="false" ht="12.75" hidden="false" customHeight="false" outlineLevel="0" collapsed="false">
      <c r="A181" s="22" t="s">
        <v>124</v>
      </c>
      <c r="C181" s="21"/>
      <c r="D181" s="25" t="n">
        <v>0</v>
      </c>
      <c r="E181" s="25" t="n">
        <v>0</v>
      </c>
      <c r="F181" s="25" t="n">
        <v>0</v>
      </c>
      <c r="G181" s="25" t="n">
        <v>0</v>
      </c>
      <c r="H181" s="25" t="n">
        <v>0</v>
      </c>
      <c r="I181" s="25" t="n">
        <v>0</v>
      </c>
      <c r="J181" s="25" t="n">
        <v>0</v>
      </c>
      <c r="K181" s="25" t="n">
        <v>0</v>
      </c>
      <c r="L181" s="25" t="n">
        <v>0</v>
      </c>
      <c r="M181" s="25" t="n">
        <v>0</v>
      </c>
      <c r="N181" s="25" t="n">
        <v>0</v>
      </c>
      <c r="O181" s="25" t="n">
        <v>0</v>
      </c>
      <c r="P181" s="21" t="n">
        <f aca="false">SUM(D181:O181)</f>
        <v>0</v>
      </c>
      <c r="Q181" s="25" t="n">
        <f aca="false">SUM(D181:J181)</f>
        <v>0</v>
      </c>
      <c r="R181" s="21" t="n">
        <f aca="false">P181-Q181</f>
        <v>0</v>
      </c>
    </row>
    <row r="182" customFormat="false" ht="12.75" hidden="false" customHeight="false" outlineLevel="0" collapsed="false">
      <c r="A182" s="22" t="s">
        <v>28</v>
      </c>
      <c r="D182" s="23" t="n">
        <v>0</v>
      </c>
      <c r="E182" s="23" t="n">
        <v>0</v>
      </c>
      <c r="F182" s="23" t="n">
        <v>0</v>
      </c>
      <c r="G182" s="23" t="n">
        <v>0</v>
      </c>
      <c r="H182" s="23" t="n">
        <v>0</v>
      </c>
      <c r="I182" s="23" t="n">
        <v>0</v>
      </c>
      <c r="J182" s="23" t="n">
        <v>0</v>
      </c>
      <c r="K182" s="23" t="n">
        <v>0</v>
      </c>
      <c r="L182" s="23" t="n">
        <v>0</v>
      </c>
      <c r="M182" s="23" t="n">
        <v>0</v>
      </c>
      <c r="N182" s="23" t="n">
        <v>0</v>
      </c>
      <c r="O182" s="23" t="n">
        <v>0</v>
      </c>
      <c r="P182" s="24" t="n">
        <f aca="false">SUM(D182:O182)</f>
        <v>0</v>
      </c>
      <c r="Q182" s="23" t="n">
        <f aca="false">SUM(D182:J182)</f>
        <v>0</v>
      </c>
      <c r="R182" s="21" t="n">
        <f aca="false">P182-Q182</f>
        <v>0</v>
      </c>
    </row>
    <row r="183" customFormat="false" ht="3.95" hidden="false" customHeight="true" outlineLevel="0" collapsed="false"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customFormat="false" ht="12.75" hidden="false" customHeight="false" outlineLevel="0" collapsed="false">
      <c r="A184" s="20" t="s">
        <v>125</v>
      </c>
      <c r="C184" s="25" t="n">
        <v>0</v>
      </c>
      <c r="D184" s="21" t="n">
        <f aca="false">SUM(D180:D183)</f>
        <v>0</v>
      </c>
      <c r="E184" s="21" t="n">
        <f aca="false">SUM(E180:E183)</f>
        <v>0</v>
      </c>
      <c r="F184" s="21" t="n">
        <f aca="false">SUM(F180:F183)</f>
        <v>0</v>
      </c>
      <c r="G184" s="21" t="n">
        <f aca="false">SUM(G180:G183)</f>
        <v>0</v>
      </c>
      <c r="H184" s="21" t="n">
        <f aca="false">SUM(H180:H183)</f>
        <v>0</v>
      </c>
      <c r="I184" s="21" t="n">
        <f aca="false">SUM(I180:I183)</f>
        <v>0</v>
      </c>
      <c r="J184" s="21" t="n">
        <f aca="false">SUM(J180:J183)</f>
        <v>0</v>
      </c>
      <c r="K184" s="21" t="n">
        <f aca="false">SUM(K180:K183)</f>
        <v>0</v>
      </c>
      <c r="L184" s="21" t="n">
        <f aca="false">SUM(L180:L183)</f>
        <v>0</v>
      </c>
      <c r="M184" s="21" t="n">
        <f aca="false">SUM(M180:M183)</f>
        <v>0</v>
      </c>
      <c r="N184" s="21" t="n">
        <f aca="false">SUM(N180:N183)</f>
        <v>0</v>
      </c>
      <c r="O184" s="21" t="n">
        <f aca="false">SUM(O180:O183)</f>
        <v>0</v>
      </c>
      <c r="P184" s="21"/>
    </row>
    <row r="185" customFormat="false" ht="3.95" hidden="false" customHeight="true" outlineLevel="0" collapsed="false"/>
    <row r="186" customFormat="false" ht="12.75" hidden="false" customHeight="false" outlineLevel="0" collapsed="false">
      <c r="A186" s="22" t="s">
        <v>30</v>
      </c>
      <c r="D186" s="21" t="n">
        <f aca="false">D184-C184</f>
        <v>0</v>
      </c>
      <c r="E186" s="21" t="n">
        <f aca="false">E184-D184</f>
        <v>0</v>
      </c>
      <c r="F186" s="21" t="n">
        <f aca="false">F184-E184</f>
        <v>0</v>
      </c>
      <c r="G186" s="21" t="n">
        <f aca="false">G184-F184</f>
        <v>0</v>
      </c>
      <c r="H186" s="21" t="n">
        <f aca="false">H184-G184</f>
        <v>0</v>
      </c>
      <c r="I186" s="21" t="n">
        <f aca="false">I184-H184</f>
        <v>0</v>
      </c>
      <c r="J186" s="21" t="n">
        <f aca="false">J184-I184</f>
        <v>0</v>
      </c>
      <c r="K186" s="21" t="n">
        <f aca="false">K184-J184</f>
        <v>0</v>
      </c>
      <c r="L186" s="21" t="n">
        <f aca="false">L184-K184</f>
        <v>0</v>
      </c>
      <c r="M186" s="21" t="n">
        <f aca="false">M184-L184</f>
        <v>0</v>
      </c>
      <c r="N186" s="21" t="n">
        <f aca="false">N184-M184</f>
        <v>0</v>
      </c>
      <c r="O186" s="21" t="n">
        <f aca="false">O184-N184</f>
        <v>0</v>
      </c>
      <c r="P186" s="21" t="n">
        <f aca="false">SUM(D186:O186)</f>
        <v>0</v>
      </c>
      <c r="Q186" s="21" t="n">
        <f aca="false">SUM(Q181:Q183)</f>
        <v>0</v>
      </c>
      <c r="R186" s="21" t="n">
        <f aca="false">P186-Q186</f>
        <v>0</v>
      </c>
    </row>
    <row r="188" customFormat="false" ht="12.75" hidden="false" customHeight="false" outlineLevel="0" collapsed="false">
      <c r="A188" s="20" t="s">
        <v>126</v>
      </c>
      <c r="D188" s="21" t="n">
        <f aca="false">C192</f>
        <v>0</v>
      </c>
      <c r="E188" s="21" t="n">
        <f aca="false">D192</f>
        <v>0</v>
      </c>
      <c r="F188" s="21" t="n">
        <f aca="false">E192</f>
        <v>0</v>
      </c>
      <c r="G188" s="21" t="n">
        <f aca="false">F192</f>
        <v>0</v>
      </c>
      <c r="H188" s="21" t="n">
        <f aca="false">G192</f>
        <v>0</v>
      </c>
      <c r="I188" s="21" t="n">
        <f aca="false">H192</f>
        <v>0</v>
      </c>
      <c r="J188" s="21" t="n">
        <f aca="false">I192</f>
        <v>0</v>
      </c>
      <c r="K188" s="21" t="n">
        <f aca="false">J192</f>
        <v>0</v>
      </c>
      <c r="L188" s="21" t="n">
        <f aca="false">K192</f>
        <v>0</v>
      </c>
      <c r="M188" s="21" t="n">
        <f aca="false">L192</f>
        <v>0</v>
      </c>
      <c r="N188" s="21" t="n">
        <f aca="false">M192</f>
        <v>0</v>
      </c>
      <c r="O188" s="21" t="n">
        <f aca="false">N192</f>
        <v>0</v>
      </c>
    </row>
    <row r="189" customFormat="false" ht="12.75" hidden="false" customHeight="false" outlineLevel="0" collapsed="false">
      <c r="A189" s="22" t="s">
        <v>127</v>
      </c>
      <c r="D189" s="25" t="n">
        <v>0</v>
      </c>
      <c r="E189" s="25" t="n">
        <v>0</v>
      </c>
      <c r="F189" s="25" t="n">
        <v>0</v>
      </c>
      <c r="G189" s="25" t="n">
        <v>0</v>
      </c>
      <c r="H189" s="25" t="n">
        <v>0</v>
      </c>
      <c r="I189" s="25" t="n">
        <v>0</v>
      </c>
      <c r="J189" s="25" t="n">
        <v>0</v>
      </c>
      <c r="K189" s="25" t="n">
        <v>0</v>
      </c>
      <c r="L189" s="25" t="n">
        <v>0</v>
      </c>
      <c r="M189" s="25" t="n">
        <v>0</v>
      </c>
      <c r="N189" s="25" t="n">
        <v>0</v>
      </c>
      <c r="O189" s="25" t="n">
        <v>0</v>
      </c>
      <c r="P189" s="21" t="n">
        <f aca="false">SUM(D189:O189)</f>
        <v>0</v>
      </c>
      <c r="Q189" s="25" t="n">
        <f aca="false">SUM(D189:J189)</f>
        <v>0</v>
      </c>
      <c r="R189" s="21" t="n">
        <f aca="false">P189-Q189</f>
        <v>0</v>
      </c>
    </row>
    <row r="190" customFormat="false" ht="12.75" hidden="false" customHeight="false" outlineLevel="0" collapsed="false">
      <c r="A190" s="22" t="s">
        <v>28</v>
      </c>
      <c r="C190" s="23" t="n">
        <v>0</v>
      </c>
      <c r="D190" s="23" t="n">
        <v>0</v>
      </c>
      <c r="E190" s="23" t="n">
        <v>0</v>
      </c>
      <c r="F190" s="23" t="n">
        <v>0</v>
      </c>
      <c r="G190" s="23" t="n">
        <v>0</v>
      </c>
      <c r="H190" s="23" t="n">
        <v>0</v>
      </c>
      <c r="I190" s="23" t="n">
        <v>0</v>
      </c>
      <c r="J190" s="23" t="n">
        <v>0</v>
      </c>
      <c r="K190" s="23" t="n">
        <v>0</v>
      </c>
      <c r="L190" s="23" t="n">
        <v>0</v>
      </c>
      <c r="M190" s="23" t="n">
        <v>0</v>
      </c>
      <c r="N190" s="23" t="n">
        <v>0</v>
      </c>
      <c r="O190" s="23" t="n">
        <v>0</v>
      </c>
      <c r="P190" s="24" t="n">
        <f aca="false">SUM(D190:O190)</f>
        <v>0</v>
      </c>
      <c r="Q190" s="23" t="n">
        <f aca="false">SUM(D190:J190)</f>
        <v>0</v>
      </c>
      <c r="R190" s="24" t="n">
        <f aca="false">P190-Q190</f>
        <v>0</v>
      </c>
    </row>
    <row r="191" customFormat="false" ht="3.95" hidden="false" customHeight="true" outlineLevel="0" collapsed="false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customFormat="false" ht="12.75" hidden="false" customHeight="false" outlineLevel="0" collapsed="false">
      <c r="A192" s="20" t="s">
        <v>128</v>
      </c>
      <c r="C192" s="25" t="n">
        <v>0</v>
      </c>
      <c r="D192" s="21" t="n">
        <f aca="false">SUM(D188:D191)</f>
        <v>0</v>
      </c>
      <c r="E192" s="21" t="n">
        <f aca="false">SUM(E188:E191)</f>
        <v>0</v>
      </c>
      <c r="F192" s="21" t="n">
        <f aca="false">SUM(F188:F191)</f>
        <v>0</v>
      </c>
      <c r="G192" s="21" t="n">
        <f aca="false">SUM(G188:G191)</f>
        <v>0</v>
      </c>
      <c r="H192" s="21" t="n">
        <f aca="false">SUM(H188:H191)</f>
        <v>0</v>
      </c>
      <c r="I192" s="21" t="n">
        <f aca="false">SUM(I188:I191)</f>
        <v>0</v>
      </c>
      <c r="J192" s="21" t="n">
        <f aca="false">SUM(J188:J191)</f>
        <v>0</v>
      </c>
      <c r="K192" s="21" t="n">
        <f aca="false">SUM(K188:K191)</f>
        <v>0</v>
      </c>
      <c r="L192" s="21" t="n">
        <f aca="false">SUM(L188:L191)</f>
        <v>0</v>
      </c>
      <c r="M192" s="21" t="n">
        <f aca="false">SUM(M188:M191)</f>
        <v>0</v>
      </c>
      <c r="N192" s="21" t="n">
        <f aca="false">SUM(N188:N191)</f>
        <v>0</v>
      </c>
      <c r="O192" s="21" t="n">
        <f aca="false">SUM(O188:O191)</f>
        <v>0</v>
      </c>
      <c r="P192" s="21"/>
    </row>
    <row r="193" customFormat="false" ht="3.95" hidden="false" customHeight="true" outlineLevel="0" collapsed="false"/>
    <row r="194" customFormat="false" ht="12.75" hidden="false" customHeight="false" outlineLevel="0" collapsed="false">
      <c r="A194" s="22" t="s">
        <v>30</v>
      </c>
      <c r="C194" s="21"/>
      <c r="D194" s="21" t="n">
        <f aca="false">D192-C192</f>
        <v>0</v>
      </c>
      <c r="E194" s="21" t="n">
        <f aca="false">E192-D192</f>
        <v>0</v>
      </c>
      <c r="F194" s="21" t="n">
        <f aca="false">F192-E192</f>
        <v>0</v>
      </c>
      <c r="G194" s="21" t="n">
        <f aca="false">G192-F192</f>
        <v>0</v>
      </c>
      <c r="H194" s="21" t="n">
        <f aca="false">H192-G192</f>
        <v>0</v>
      </c>
      <c r="I194" s="21" t="n">
        <f aca="false">I192-H192</f>
        <v>0</v>
      </c>
      <c r="J194" s="21" t="n">
        <f aca="false">J192-I192</f>
        <v>0</v>
      </c>
      <c r="K194" s="21" t="n">
        <f aca="false">K192-J192</f>
        <v>0</v>
      </c>
      <c r="L194" s="21" t="n">
        <f aca="false">L192-K192</f>
        <v>0</v>
      </c>
      <c r="M194" s="21" t="n">
        <f aca="false">M192-L192</f>
        <v>0</v>
      </c>
      <c r="N194" s="21" t="n">
        <f aca="false">N192-M192</f>
        <v>0</v>
      </c>
      <c r="O194" s="21" t="n">
        <f aca="false">O192-N192</f>
        <v>0</v>
      </c>
      <c r="P194" s="21" t="n">
        <f aca="false">SUM(D194:O194)</f>
        <v>0</v>
      </c>
      <c r="Q194" s="21" t="n">
        <f aca="false">SUM(Q190:Q191)</f>
        <v>0</v>
      </c>
      <c r="R194" s="21" t="n">
        <f aca="false">P194-Q194</f>
        <v>0</v>
      </c>
    </row>
    <row r="195" customFormat="false" ht="8.1" hidden="false" customHeight="true" outlineLevel="0" collapsed="false"/>
    <row r="196" customFormat="false" ht="12.75" hidden="false" customHeight="false" outlineLevel="0" collapsed="false">
      <c r="U196" s="38" t="s">
        <v>129</v>
      </c>
    </row>
    <row r="197" customFormat="false" ht="12.75" hidden="false" customHeight="false" outlineLevel="0" collapsed="false">
      <c r="A197" s="20" t="s">
        <v>130</v>
      </c>
      <c r="D197" s="21" t="n">
        <f aca="false">C247</f>
        <v>205563</v>
      </c>
      <c r="E197" s="21" t="n">
        <f aca="false">D247</f>
        <v>208335</v>
      </c>
      <c r="F197" s="21" t="n">
        <f aca="false">E247</f>
        <v>204840</v>
      </c>
      <c r="G197" s="21" t="n">
        <f aca="false">F247</f>
        <v>204494</v>
      </c>
      <c r="H197" s="21" t="n">
        <f aca="false">G247</f>
        <v>202992</v>
      </c>
      <c r="I197" s="21" t="n">
        <f aca="false">H247</f>
        <v>198687</v>
      </c>
      <c r="J197" s="21" t="n">
        <f aca="false">I247</f>
        <v>195422</v>
      </c>
      <c r="K197" s="21" t="n">
        <f aca="false">J247</f>
        <v>192000</v>
      </c>
      <c r="L197" s="21" t="n">
        <f aca="false">K247</f>
        <v>191659</v>
      </c>
      <c r="M197" s="21" t="n">
        <f aca="false">L247</f>
        <v>191241</v>
      </c>
      <c r="N197" s="21" t="n">
        <f aca="false">M247</f>
        <v>190924</v>
      </c>
      <c r="O197" s="21" t="n">
        <f aca="false">N247</f>
        <v>190006</v>
      </c>
      <c r="U197" s="29" t="s">
        <v>59</v>
      </c>
    </row>
    <row r="198" customFormat="false" ht="12.75" hidden="false" customHeight="false" outlineLevel="0" collapsed="false">
      <c r="A198" s="22" t="s">
        <v>131</v>
      </c>
      <c r="C198" s="25" t="n">
        <v>0</v>
      </c>
      <c r="D198" s="25" t="n">
        <v>0</v>
      </c>
      <c r="E198" s="25" t="n">
        <v>0</v>
      </c>
      <c r="F198" s="25" t="n">
        <v>0</v>
      </c>
      <c r="G198" s="25" t="n">
        <v>0</v>
      </c>
      <c r="H198" s="25" t="n">
        <v>0</v>
      </c>
      <c r="I198" s="25" t="n">
        <v>0</v>
      </c>
      <c r="J198" s="25" t="n">
        <v>0</v>
      </c>
      <c r="K198" s="25" t="n">
        <v>0</v>
      </c>
      <c r="L198" s="25" t="n">
        <v>0</v>
      </c>
      <c r="M198" s="25" t="n">
        <v>0</v>
      </c>
      <c r="N198" s="25" t="n">
        <v>0</v>
      </c>
      <c r="O198" s="25" t="n">
        <v>0</v>
      </c>
      <c r="P198" s="21" t="n">
        <f aca="false">SUM(D198:O198)</f>
        <v>0</v>
      </c>
      <c r="Q198" s="25" t="n">
        <f aca="false">SUM(D198:J198)</f>
        <v>0</v>
      </c>
      <c r="R198" s="21" t="n">
        <f aca="false">P198-Q198</f>
        <v>0</v>
      </c>
      <c r="T198" s="25" t="n">
        <f aca="false">SUM(C198:J198)</f>
        <v>0</v>
      </c>
      <c r="U198" s="21"/>
      <c r="W198" s="39"/>
    </row>
    <row r="199" customFormat="false" ht="12.75" hidden="false" customHeight="false" outlineLevel="0" collapsed="false">
      <c r="A199" s="22" t="s">
        <v>132</v>
      </c>
      <c r="B199" s="27"/>
      <c r="C199" s="25" t="n">
        <v>0</v>
      </c>
      <c r="D199" s="25" t="n">
        <v>0</v>
      </c>
      <c r="E199" s="25" t="n">
        <v>0</v>
      </c>
      <c r="F199" s="25" t="n">
        <v>0</v>
      </c>
      <c r="G199" s="25" t="n">
        <v>0</v>
      </c>
      <c r="H199" s="25" t="n">
        <v>0</v>
      </c>
      <c r="I199" s="25" t="n">
        <v>0</v>
      </c>
      <c r="J199" s="25" t="n">
        <v>0</v>
      </c>
      <c r="K199" s="25" t="n">
        <v>0</v>
      </c>
      <c r="L199" s="25" t="n">
        <v>0</v>
      </c>
      <c r="M199" s="25" t="n">
        <v>0</v>
      </c>
      <c r="N199" s="25" t="n">
        <v>0</v>
      </c>
      <c r="O199" s="25" t="n">
        <v>0</v>
      </c>
      <c r="P199" s="21" t="n">
        <f aca="false">SUM(D199:O199)</f>
        <v>0</v>
      </c>
      <c r="Q199" s="25" t="n">
        <f aca="false">SUM(D199:J199)</f>
        <v>0</v>
      </c>
      <c r="R199" s="21" t="n">
        <f aca="false">P199-Q199</f>
        <v>0</v>
      </c>
      <c r="T199" s="25" t="n">
        <f aca="false">SUM(C199:J199)</f>
        <v>0</v>
      </c>
      <c r="U199" s="21"/>
      <c r="W199" s="39"/>
    </row>
    <row r="200" customFormat="false" ht="12.75" hidden="false" customHeight="false" outlineLevel="0" collapsed="false">
      <c r="A200" s="22" t="s">
        <v>133</v>
      </c>
      <c r="B200" s="27"/>
      <c r="C200" s="25" t="n">
        <v>0</v>
      </c>
      <c r="D200" s="25" t="n">
        <v>0</v>
      </c>
      <c r="E200" s="25" t="n">
        <v>0</v>
      </c>
      <c r="F200" s="25" t="n">
        <v>0</v>
      </c>
      <c r="G200" s="25" t="n">
        <v>0</v>
      </c>
      <c r="H200" s="25" t="n">
        <v>0</v>
      </c>
      <c r="I200" s="25" t="n">
        <v>0</v>
      </c>
      <c r="J200" s="25" t="n">
        <v>0</v>
      </c>
      <c r="K200" s="25" t="n">
        <v>0</v>
      </c>
      <c r="L200" s="25" t="n">
        <v>0</v>
      </c>
      <c r="M200" s="25" t="n">
        <v>0</v>
      </c>
      <c r="N200" s="25" t="n">
        <v>0</v>
      </c>
      <c r="O200" s="25" t="n">
        <v>0</v>
      </c>
      <c r="P200" s="21" t="n">
        <f aca="false">SUM(D200:O200)</f>
        <v>0</v>
      </c>
      <c r="Q200" s="25" t="n">
        <f aca="false">SUM(D200:J200)</f>
        <v>0</v>
      </c>
      <c r="R200" s="21" t="n">
        <f aca="false">P200-Q200</f>
        <v>0</v>
      </c>
      <c r="T200" s="25" t="n">
        <f aca="false">SUM(C200:J200)</f>
        <v>0</v>
      </c>
      <c r="U200" s="21" t="n">
        <f aca="false">SUM(T198:T200)</f>
        <v>0</v>
      </c>
      <c r="W200" s="39"/>
    </row>
    <row r="201" customFormat="false" ht="12.75" hidden="false" customHeight="false" outlineLevel="0" collapsed="false">
      <c r="A201" s="22" t="s">
        <v>134</v>
      </c>
      <c r="C201" s="25" t="n">
        <v>0</v>
      </c>
      <c r="D201" s="25" t="n">
        <v>0</v>
      </c>
      <c r="E201" s="25" t="n">
        <v>0</v>
      </c>
      <c r="F201" s="25" t="n">
        <v>0</v>
      </c>
      <c r="G201" s="25" t="n">
        <v>0</v>
      </c>
      <c r="H201" s="25" t="n">
        <v>0</v>
      </c>
      <c r="I201" s="25" t="n">
        <v>0</v>
      </c>
      <c r="J201" s="25" t="n">
        <v>0</v>
      </c>
      <c r="K201" s="25" t="n">
        <v>0</v>
      </c>
      <c r="L201" s="25" t="n">
        <v>0</v>
      </c>
      <c r="M201" s="25" t="n">
        <v>0</v>
      </c>
      <c r="N201" s="25" t="n">
        <v>0</v>
      </c>
      <c r="O201" s="25" t="n">
        <v>0</v>
      </c>
      <c r="P201" s="21" t="n">
        <f aca="false">SUM(D201:O201)</f>
        <v>0</v>
      </c>
      <c r="Q201" s="25" t="n">
        <f aca="false">SUM(D201:J201)</f>
        <v>0</v>
      </c>
      <c r="R201" s="21" t="n">
        <f aca="false">P201-Q201</f>
        <v>0</v>
      </c>
      <c r="T201" s="25" t="n">
        <f aca="false">SUM(C201:J201)</f>
        <v>0</v>
      </c>
      <c r="U201" s="21"/>
      <c r="W201" s="39"/>
    </row>
    <row r="202" customFormat="false" ht="12.75" hidden="false" customHeight="false" outlineLevel="0" collapsed="false">
      <c r="A202" s="22" t="s">
        <v>132</v>
      </c>
      <c r="B202" s="27" t="s">
        <v>34</v>
      </c>
      <c r="C202" s="25" t="n">
        <v>0</v>
      </c>
      <c r="D202" s="21" t="n">
        <f aca="false">[1]Source!D25</f>
        <v>0</v>
      </c>
      <c r="E202" s="21" t="n">
        <f aca="false">[1]Source!E25</f>
        <v>0</v>
      </c>
      <c r="F202" s="21" t="n">
        <f aca="false">[1]Source!F25</f>
        <v>0</v>
      </c>
      <c r="G202" s="21" t="n">
        <f aca="false">[1]Source!G25</f>
        <v>0</v>
      </c>
      <c r="H202" s="21" t="n">
        <f aca="false">[1]Source!H25</f>
        <v>0</v>
      </c>
      <c r="I202" s="21" t="n">
        <f aca="false">[1]Source!I25</f>
        <v>0</v>
      </c>
      <c r="J202" s="21" t="n">
        <f aca="false">[1]Source!J25</f>
        <v>0</v>
      </c>
      <c r="K202" s="21" t="n">
        <f aca="false">[1]Source!K25</f>
        <v>0</v>
      </c>
      <c r="L202" s="21" t="n">
        <f aca="false">[1]Source!L25</f>
        <v>0</v>
      </c>
      <c r="M202" s="21" t="n">
        <f aca="false">[1]Source!M25</f>
        <v>0</v>
      </c>
      <c r="N202" s="21" t="n">
        <f aca="false">[1]Source!N25</f>
        <v>0</v>
      </c>
      <c r="O202" s="21" t="n">
        <f aca="false">[1]Source!O25</f>
        <v>0</v>
      </c>
      <c r="P202" s="21" t="n">
        <f aca="false">SUM(D202:O202)</f>
        <v>0</v>
      </c>
      <c r="Q202" s="25" t="n">
        <f aca="false">SUM(D202:J202)</f>
        <v>0</v>
      </c>
      <c r="R202" s="21" t="n">
        <f aca="false">P202-Q202</f>
        <v>0</v>
      </c>
      <c r="T202" s="25" t="n">
        <f aca="false">SUM(C202:J202)</f>
        <v>0</v>
      </c>
      <c r="U202" s="21"/>
      <c r="W202" s="39"/>
    </row>
    <row r="203" customFormat="false" ht="12.75" hidden="false" customHeight="false" outlineLevel="0" collapsed="false">
      <c r="A203" s="22" t="s">
        <v>133</v>
      </c>
      <c r="C203" s="25" t="n">
        <v>0</v>
      </c>
      <c r="D203" s="25" t="n">
        <v>0</v>
      </c>
      <c r="E203" s="25" t="n">
        <v>0</v>
      </c>
      <c r="F203" s="25" t="n">
        <v>0</v>
      </c>
      <c r="G203" s="25" t="n">
        <v>0</v>
      </c>
      <c r="H203" s="25" t="n">
        <v>0</v>
      </c>
      <c r="I203" s="25" t="n">
        <v>0</v>
      </c>
      <c r="J203" s="25" t="n">
        <v>0</v>
      </c>
      <c r="K203" s="25" t="n">
        <v>0</v>
      </c>
      <c r="L203" s="25" t="n">
        <v>0</v>
      </c>
      <c r="M203" s="25" t="n">
        <v>0</v>
      </c>
      <c r="N203" s="25" t="n">
        <v>0</v>
      </c>
      <c r="O203" s="25" t="n">
        <v>0</v>
      </c>
      <c r="P203" s="21" t="n">
        <f aca="false">SUM(D203:O203)</f>
        <v>0</v>
      </c>
      <c r="Q203" s="25" t="n">
        <f aca="false">SUM(D203:J203)</f>
        <v>0</v>
      </c>
      <c r="R203" s="21" t="n">
        <f aca="false">P203-Q203</f>
        <v>0</v>
      </c>
      <c r="T203" s="25" t="n">
        <f aca="false">SUM(C203:J203)</f>
        <v>0</v>
      </c>
      <c r="U203" s="21" t="n">
        <f aca="false">SUM(T201:T203)</f>
        <v>0</v>
      </c>
      <c r="W203" s="39"/>
    </row>
    <row r="204" customFormat="false" ht="12.75" hidden="false" customHeight="false" outlineLevel="0" collapsed="false">
      <c r="A204" s="22" t="s">
        <v>135</v>
      </c>
      <c r="C204" s="25" t="n">
        <v>0</v>
      </c>
      <c r="D204" s="25" t="n">
        <v>0</v>
      </c>
      <c r="E204" s="25" t="n">
        <v>0</v>
      </c>
      <c r="F204" s="25" t="n">
        <v>0</v>
      </c>
      <c r="G204" s="25" t="n">
        <v>0</v>
      </c>
      <c r="H204" s="25" t="n">
        <v>0</v>
      </c>
      <c r="I204" s="25" t="n">
        <v>0</v>
      </c>
      <c r="J204" s="25" t="n">
        <v>0</v>
      </c>
      <c r="K204" s="25" t="n">
        <v>0</v>
      </c>
      <c r="L204" s="25" t="n">
        <v>0</v>
      </c>
      <c r="M204" s="25" t="n">
        <v>0</v>
      </c>
      <c r="N204" s="25" t="n">
        <v>0</v>
      </c>
      <c r="O204" s="25" t="n">
        <v>0</v>
      </c>
      <c r="P204" s="21" t="n">
        <f aca="false">SUM(D204:O204)</f>
        <v>0</v>
      </c>
      <c r="Q204" s="25" t="n">
        <f aca="false">SUM(D204:J204)</f>
        <v>0</v>
      </c>
      <c r="R204" s="21" t="n">
        <f aca="false">P204-Q204</f>
        <v>0</v>
      </c>
      <c r="T204" s="25" t="n">
        <f aca="false">SUM(C204:J204)</f>
        <v>0</v>
      </c>
      <c r="U204" s="21"/>
      <c r="W204" s="39"/>
    </row>
    <row r="205" customFormat="false" ht="12.75" hidden="false" customHeight="false" outlineLevel="0" collapsed="false">
      <c r="A205" s="22" t="s">
        <v>132</v>
      </c>
      <c r="B205" s="27"/>
      <c r="C205" s="25" t="n">
        <v>0</v>
      </c>
      <c r="D205" s="25" t="n">
        <v>0</v>
      </c>
      <c r="E205" s="25" t="n">
        <v>0</v>
      </c>
      <c r="F205" s="25" t="n">
        <v>0</v>
      </c>
      <c r="G205" s="25" t="n">
        <v>0</v>
      </c>
      <c r="H205" s="25" t="n">
        <v>0</v>
      </c>
      <c r="I205" s="25" t="n">
        <v>0</v>
      </c>
      <c r="J205" s="25" t="n">
        <v>0</v>
      </c>
      <c r="K205" s="25" t="n">
        <v>0</v>
      </c>
      <c r="L205" s="25" t="n">
        <v>0</v>
      </c>
      <c r="M205" s="25" t="n">
        <v>0</v>
      </c>
      <c r="N205" s="25" t="n">
        <v>0</v>
      </c>
      <c r="O205" s="25" t="n">
        <v>0</v>
      </c>
      <c r="P205" s="21" t="n">
        <f aca="false">SUM(D205:O205)</f>
        <v>0</v>
      </c>
      <c r="Q205" s="25" t="n">
        <f aca="false">SUM(D205:J205)</f>
        <v>0</v>
      </c>
      <c r="R205" s="21" t="n">
        <f aca="false">P205-Q205</f>
        <v>0</v>
      </c>
      <c r="T205" s="25" t="n">
        <f aca="false">SUM(C205:J205)</f>
        <v>0</v>
      </c>
      <c r="U205" s="21"/>
      <c r="W205" s="39"/>
    </row>
    <row r="206" customFormat="false" ht="12.75" hidden="false" customHeight="false" outlineLevel="0" collapsed="false">
      <c r="A206" s="22" t="s">
        <v>133</v>
      </c>
      <c r="B206" s="27"/>
      <c r="C206" s="25" t="n">
        <v>0</v>
      </c>
      <c r="D206" s="25" t="n">
        <v>0</v>
      </c>
      <c r="E206" s="25" t="n">
        <v>0</v>
      </c>
      <c r="F206" s="25" t="n">
        <v>0</v>
      </c>
      <c r="G206" s="25" t="n">
        <v>0</v>
      </c>
      <c r="H206" s="25" t="n">
        <v>0</v>
      </c>
      <c r="I206" s="25" t="n">
        <v>0</v>
      </c>
      <c r="J206" s="25" t="n">
        <v>0</v>
      </c>
      <c r="K206" s="25" t="n">
        <v>0</v>
      </c>
      <c r="L206" s="25" t="n">
        <v>0</v>
      </c>
      <c r="M206" s="25" t="n">
        <v>0</v>
      </c>
      <c r="N206" s="25" t="n">
        <v>0</v>
      </c>
      <c r="O206" s="25" t="n">
        <v>0</v>
      </c>
      <c r="P206" s="21" t="n">
        <f aca="false">SUM(D206:O206)</f>
        <v>0</v>
      </c>
      <c r="Q206" s="25" t="n">
        <f aca="false">SUM(D206:J206)</f>
        <v>0</v>
      </c>
      <c r="R206" s="21" t="n">
        <f aca="false">P206-Q206</f>
        <v>0</v>
      </c>
      <c r="T206" s="25" t="n">
        <f aca="false">SUM(C206:J206)</f>
        <v>0</v>
      </c>
      <c r="U206" s="21" t="n">
        <f aca="false">SUM(T204:T206)</f>
        <v>0</v>
      </c>
      <c r="W206" s="39"/>
    </row>
    <row r="207" customFormat="false" ht="12.75" hidden="false" customHeight="false" outlineLevel="0" collapsed="false">
      <c r="A207" s="22" t="s">
        <v>136</v>
      </c>
      <c r="C207" s="25" t="n">
        <v>0</v>
      </c>
      <c r="D207" s="25" t="n">
        <v>0</v>
      </c>
      <c r="E207" s="25" t="n">
        <v>0</v>
      </c>
      <c r="F207" s="25" t="n">
        <v>0</v>
      </c>
      <c r="G207" s="25" t="n">
        <v>0</v>
      </c>
      <c r="H207" s="25" t="n">
        <v>0</v>
      </c>
      <c r="I207" s="25" t="n">
        <v>0</v>
      </c>
      <c r="J207" s="25" t="n">
        <v>0</v>
      </c>
      <c r="K207" s="25" t="n">
        <v>0</v>
      </c>
      <c r="L207" s="25" t="n">
        <v>0</v>
      </c>
      <c r="M207" s="25" t="n">
        <v>0</v>
      </c>
      <c r="N207" s="25" t="n">
        <v>0</v>
      </c>
      <c r="O207" s="25" t="n">
        <v>0</v>
      </c>
      <c r="P207" s="21" t="n">
        <f aca="false">SUM(D207:O207)</f>
        <v>0</v>
      </c>
      <c r="Q207" s="25" t="n">
        <f aca="false">SUM(D207:J207)</f>
        <v>0</v>
      </c>
      <c r="R207" s="21" t="n">
        <f aca="false">P207-Q207</f>
        <v>0</v>
      </c>
      <c r="T207" s="25" t="n">
        <f aca="false">SUM(C207:J207)</f>
        <v>0</v>
      </c>
      <c r="U207" s="21"/>
      <c r="W207" s="39"/>
    </row>
    <row r="208" customFormat="false" ht="12.75" hidden="false" customHeight="false" outlineLevel="0" collapsed="false">
      <c r="A208" s="22" t="s">
        <v>132</v>
      </c>
      <c r="B208" s="27"/>
      <c r="C208" s="25" t="n">
        <v>0</v>
      </c>
      <c r="D208" s="25" t="n">
        <v>0</v>
      </c>
      <c r="E208" s="25" t="n">
        <v>0</v>
      </c>
      <c r="F208" s="25" t="n">
        <v>0</v>
      </c>
      <c r="G208" s="25" t="n">
        <v>0</v>
      </c>
      <c r="H208" s="25" t="n">
        <v>0</v>
      </c>
      <c r="I208" s="25" t="n">
        <v>0</v>
      </c>
      <c r="J208" s="25" t="n">
        <v>0</v>
      </c>
      <c r="K208" s="25" t="n">
        <v>0</v>
      </c>
      <c r="L208" s="25" t="n">
        <v>0</v>
      </c>
      <c r="M208" s="25" t="n">
        <v>0</v>
      </c>
      <c r="N208" s="25" t="n">
        <v>0</v>
      </c>
      <c r="O208" s="25" t="n">
        <v>0</v>
      </c>
      <c r="P208" s="21" t="n">
        <f aca="false">SUM(D208:O208)</f>
        <v>0</v>
      </c>
      <c r="Q208" s="25" t="n">
        <f aca="false">SUM(D208:J208)</f>
        <v>0</v>
      </c>
      <c r="R208" s="21" t="n">
        <f aca="false">P208-Q208</f>
        <v>0</v>
      </c>
      <c r="T208" s="25" t="n">
        <f aca="false">SUM(C208:J208)</f>
        <v>0</v>
      </c>
      <c r="U208" s="21"/>
      <c r="W208" s="39"/>
    </row>
    <row r="209" customFormat="false" ht="12.75" hidden="false" customHeight="false" outlineLevel="0" collapsed="false">
      <c r="A209" s="22" t="s">
        <v>133</v>
      </c>
      <c r="B209" s="27"/>
      <c r="C209" s="25" t="n">
        <v>0</v>
      </c>
      <c r="D209" s="21" t="n">
        <f aca="false">[1]Source!D20</f>
        <v>0</v>
      </c>
      <c r="E209" s="21" t="n">
        <f aca="false">[1]Source!E20</f>
        <v>0</v>
      </c>
      <c r="F209" s="21" t="n">
        <f aca="false">[1]Source!F20</f>
        <v>0</v>
      </c>
      <c r="G209" s="21" t="n">
        <f aca="false">[1]Source!G20</f>
        <v>0</v>
      </c>
      <c r="H209" s="21" t="n">
        <f aca="false">[1]Source!H20</f>
        <v>0</v>
      </c>
      <c r="I209" s="21" t="n">
        <f aca="false">[1]Source!I20</f>
        <v>0</v>
      </c>
      <c r="J209" s="21" t="n">
        <f aca="false">[1]Source!J20</f>
        <v>0</v>
      </c>
      <c r="K209" s="21" t="n">
        <f aca="false">[1]Source!K20</f>
        <v>0</v>
      </c>
      <c r="L209" s="21" t="n">
        <f aca="false">[1]Source!L20</f>
        <v>0</v>
      </c>
      <c r="M209" s="21" t="n">
        <f aca="false">[1]Source!M20</f>
        <v>0</v>
      </c>
      <c r="N209" s="21" t="n">
        <f aca="false">[1]Source!N20</f>
        <v>0</v>
      </c>
      <c r="O209" s="21" t="n">
        <f aca="false">[1]Source!O20</f>
        <v>0</v>
      </c>
      <c r="P209" s="21" t="n">
        <f aca="false">SUM(D209:O209)</f>
        <v>0</v>
      </c>
      <c r="Q209" s="25" t="n">
        <f aca="false">SUM(D209:J209)</f>
        <v>0</v>
      </c>
      <c r="R209" s="21" t="n">
        <f aca="false">P209-Q209</f>
        <v>0</v>
      </c>
      <c r="T209" s="25" t="n">
        <f aca="false">SUM(C209:J209)</f>
        <v>0</v>
      </c>
      <c r="U209" s="21" t="n">
        <f aca="false">SUM(T207:T209)</f>
        <v>0</v>
      </c>
      <c r="W209" s="39"/>
    </row>
    <row r="210" customFormat="false" ht="12.75" hidden="false" customHeight="false" outlineLevel="0" collapsed="false">
      <c r="A210" s="22" t="s">
        <v>137</v>
      </c>
      <c r="C210" s="25" t="n">
        <v>0</v>
      </c>
      <c r="D210" s="25" t="n">
        <v>0</v>
      </c>
      <c r="E210" s="25" t="n">
        <v>0</v>
      </c>
      <c r="F210" s="25" t="n">
        <v>0</v>
      </c>
      <c r="G210" s="25" t="n">
        <v>0</v>
      </c>
      <c r="H210" s="25" t="n">
        <v>0</v>
      </c>
      <c r="I210" s="25" t="n">
        <v>0</v>
      </c>
      <c r="J210" s="25" t="n">
        <v>0</v>
      </c>
      <c r="K210" s="25" t="n">
        <v>0</v>
      </c>
      <c r="L210" s="25" t="n">
        <v>0</v>
      </c>
      <c r="M210" s="25" t="n">
        <v>0</v>
      </c>
      <c r="N210" s="25" t="n">
        <v>0</v>
      </c>
      <c r="O210" s="25" t="n">
        <v>0</v>
      </c>
      <c r="P210" s="21" t="n">
        <f aca="false">SUM(D210:O210)</f>
        <v>0</v>
      </c>
      <c r="Q210" s="25" t="n">
        <f aca="false">SUM(D210:J210)</f>
        <v>0</v>
      </c>
      <c r="R210" s="21" t="n">
        <f aca="false">P210-Q210</f>
        <v>0</v>
      </c>
      <c r="T210" s="25" t="n">
        <f aca="false">SUM(C210:J210)</f>
        <v>0</v>
      </c>
      <c r="U210" s="21"/>
      <c r="W210" s="39"/>
    </row>
    <row r="211" customFormat="false" ht="12.75" hidden="false" customHeight="false" outlineLevel="0" collapsed="false">
      <c r="A211" s="22" t="s">
        <v>138</v>
      </c>
      <c r="B211" s="27"/>
      <c r="C211" s="25" t="n">
        <v>0</v>
      </c>
      <c r="D211" s="25" t="n">
        <v>0</v>
      </c>
      <c r="E211" s="25" t="n">
        <v>0</v>
      </c>
      <c r="F211" s="25" t="n">
        <v>0</v>
      </c>
      <c r="G211" s="25" t="n">
        <v>0</v>
      </c>
      <c r="H211" s="25" t="n">
        <v>0</v>
      </c>
      <c r="I211" s="25" t="n">
        <v>0</v>
      </c>
      <c r="J211" s="25" t="n">
        <v>0</v>
      </c>
      <c r="K211" s="25" t="n">
        <v>0</v>
      </c>
      <c r="L211" s="25" t="n">
        <v>0</v>
      </c>
      <c r="M211" s="25" t="n">
        <v>0</v>
      </c>
      <c r="N211" s="25" t="n">
        <v>0</v>
      </c>
      <c r="O211" s="25" t="n">
        <v>0</v>
      </c>
      <c r="P211" s="21" t="n">
        <f aca="false">SUM(D211:O211)</f>
        <v>0</v>
      </c>
      <c r="Q211" s="25" t="n">
        <f aca="false">SUM(D211:J211)</f>
        <v>0</v>
      </c>
      <c r="R211" s="21" t="n">
        <f aca="false">P211-Q211</f>
        <v>0</v>
      </c>
      <c r="T211" s="25" t="n">
        <f aca="false">SUM(C211:J211)</f>
        <v>0</v>
      </c>
      <c r="U211" s="21"/>
      <c r="W211" s="39"/>
    </row>
    <row r="212" customFormat="false" ht="12.75" hidden="false" customHeight="false" outlineLevel="0" collapsed="false">
      <c r="A212" s="22" t="s">
        <v>133</v>
      </c>
      <c r="B212" s="27"/>
      <c r="C212" s="25" t="n">
        <v>0</v>
      </c>
      <c r="D212" s="25" t="n">
        <v>0</v>
      </c>
      <c r="E212" s="25" t="n">
        <v>0</v>
      </c>
      <c r="F212" s="25" t="n">
        <v>0</v>
      </c>
      <c r="G212" s="25" t="n">
        <v>0</v>
      </c>
      <c r="H212" s="25" t="n">
        <v>0</v>
      </c>
      <c r="I212" s="25" t="n">
        <v>0</v>
      </c>
      <c r="J212" s="25" t="n">
        <v>0</v>
      </c>
      <c r="K212" s="25" t="n">
        <v>0</v>
      </c>
      <c r="L212" s="25" t="n">
        <v>0</v>
      </c>
      <c r="M212" s="25" t="n">
        <v>0</v>
      </c>
      <c r="N212" s="25" t="n">
        <v>0</v>
      </c>
      <c r="O212" s="25" t="n">
        <v>0</v>
      </c>
      <c r="P212" s="21" t="n">
        <f aca="false">SUM(D212:O212)</f>
        <v>0</v>
      </c>
      <c r="Q212" s="25" t="n">
        <f aca="false">SUM(D212:J212)</f>
        <v>0</v>
      </c>
      <c r="R212" s="21" t="n">
        <f aca="false">P212-Q212</f>
        <v>0</v>
      </c>
      <c r="T212" s="25" t="n">
        <f aca="false">SUM(C212:J212)</f>
        <v>0</v>
      </c>
      <c r="U212" s="21" t="n">
        <f aca="false">SUM(T210:T212)</f>
        <v>0</v>
      </c>
      <c r="W212" s="39"/>
    </row>
    <row r="213" customFormat="false" ht="12.75" hidden="false" customHeight="false" outlineLevel="0" collapsed="false">
      <c r="A213" s="22" t="s">
        <v>139</v>
      </c>
      <c r="C213" s="25" t="n">
        <v>0</v>
      </c>
      <c r="D213" s="25" t="n">
        <v>0</v>
      </c>
      <c r="E213" s="25" t="n">
        <v>0</v>
      </c>
      <c r="F213" s="25" t="n">
        <v>0</v>
      </c>
      <c r="G213" s="25" t="n">
        <v>0</v>
      </c>
      <c r="H213" s="25" t="n">
        <v>0</v>
      </c>
      <c r="I213" s="25" t="n">
        <v>0</v>
      </c>
      <c r="J213" s="25" t="n">
        <v>0</v>
      </c>
      <c r="K213" s="25" t="n">
        <v>0</v>
      </c>
      <c r="L213" s="25" t="n">
        <v>0</v>
      </c>
      <c r="M213" s="25" t="n">
        <v>0</v>
      </c>
      <c r="N213" s="25" t="n">
        <v>0</v>
      </c>
      <c r="O213" s="25" t="n">
        <v>0</v>
      </c>
      <c r="P213" s="21" t="n">
        <f aca="false">SUM(D213:O213)</f>
        <v>0</v>
      </c>
      <c r="Q213" s="25" t="n">
        <f aca="false">SUM(D213:J213)</f>
        <v>0</v>
      </c>
      <c r="R213" s="21" t="n">
        <f aca="false">P213-Q213</f>
        <v>0</v>
      </c>
      <c r="T213" s="25" t="n">
        <f aca="false">SUM(C213:J213)</f>
        <v>0</v>
      </c>
      <c r="U213" s="21"/>
      <c r="W213" s="39"/>
    </row>
    <row r="214" customFormat="false" ht="12.75" hidden="false" customHeight="false" outlineLevel="0" collapsed="false">
      <c r="A214" s="22" t="s">
        <v>138</v>
      </c>
      <c r="B214" s="27"/>
      <c r="C214" s="25" t="n">
        <v>0</v>
      </c>
      <c r="D214" s="25" t="n">
        <v>0</v>
      </c>
      <c r="E214" s="25" t="n">
        <v>0</v>
      </c>
      <c r="F214" s="25" t="n">
        <v>0</v>
      </c>
      <c r="G214" s="25" t="n">
        <v>0</v>
      </c>
      <c r="H214" s="25" t="n">
        <v>0</v>
      </c>
      <c r="I214" s="25" t="n">
        <v>0</v>
      </c>
      <c r="J214" s="25" t="n">
        <v>0</v>
      </c>
      <c r="K214" s="25" t="n">
        <v>0</v>
      </c>
      <c r="L214" s="25" t="n">
        <v>0</v>
      </c>
      <c r="M214" s="25" t="n">
        <v>0</v>
      </c>
      <c r="N214" s="25" t="n">
        <v>0</v>
      </c>
      <c r="O214" s="25" t="n">
        <v>0</v>
      </c>
      <c r="P214" s="21" t="n">
        <f aca="false">SUM(D214:O214)</f>
        <v>0</v>
      </c>
      <c r="Q214" s="25" t="n">
        <f aca="false">SUM(D214:J214)</f>
        <v>0</v>
      </c>
      <c r="R214" s="21" t="n">
        <f aca="false">P214-Q214</f>
        <v>0</v>
      </c>
      <c r="T214" s="25" t="n">
        <f aca="false">SUM(C214:J214)</f>
        <v>0</v>
      </c>
      <c r="U214" s="21"/>
      <c r="W214" s="39"/>
    </row>
    <row r="215" customFormat="false" ht="12.75" hidden="false" customHeight="false" outlineLevel="0" collapsed="false">
      <c r="A215" s="22" t="s">
        <v>133</v>
      </c>
      <c r="B215" s="27" t="s">
        <v>34</v>
      </c>
      <c r="C215" s="25" t="n">
        <v>0</v>
      </c>
      <c r="D215" s="25" t="n">
        <v>0</v>
      </c>
      <c r="E215" s="25" t="n">
        <v>0</v>
      </c>
      <c r="F215" s="25" t="n">
        <v>0</v>
      </c>
      <c r="G215" s="25" t="n">
        <v>0</v>
      </c>
      <c r="H215" s="25" t="n">
        <v>0</v>
      </c>
      <c r="I215" s="25" t="n">
        <v>0</v>
      </c>
      <c r="J215" s="25" t="n">
        <v>0</v>
      </c>
      <c r="K215" s="25" t="n">
        <v>0</v>
      </c>
      <c r="L215" s="25" t="n">
        <v>0</v>
      </c>
      <c r="M215" s="25" t="n">
        <v>0</v>
      </c>
      <c r="N215" s="25" t="n">
        <v>0</v>
      </c>
      <c r="O215" s="25" t="n">
        <v>0</v>
      </c>
      <c r="P215" s="21" t="n">
        <f aca="false">SUM(D215:O215)</f>
        <v>0</v>
      </c>
      <c r="Q215" s="25" t="n">
        <f aca="false">SUM(D215:J215)</f>
        <v>0</v>
      </c>
      <c r="R215" s="21" t="n">
        <f aca="false">P215-Q215</f>
        <v>0</v>
      </c>
      <c r="T215" s="25" t="n">
        <f aca="false">SUM(C215:J215)</f>
        <v>0</v>
      </c>
      <c r="U215" s="21" t="n">
        <f aca="false">SUM(T213:T215)</f>
        <v>0</v>
      </c>
      <c r="W215" s="39"/>
    </row>
    <row r="216" customFormat="false" ht="12.75" hidden="false" customHeight="false" outlineLevel="0" collapsed="false">
      <c r="A216" s="22" t="s">
        <v>140</v>
      </c>
      <c r="C216" s="25" t="n">
        <v>0</v>
      </c>
      <c r="D216" s="25" t="n">
        <v>0</v>
      </c>
      <c r="E216" s="25" t="n">
        <v>0</v>
      </c>
      <c r="F216" s="25" t="n">
        <v>0</v>
      </c>
      <c r="G216" s="25" t="n">
        <v>0</v>
      </c>
      <c r="H216" s="25" t="n">
        <v>0</v>
      </c>
      <c r="I216" s="25" t="n">
        <v>0</v>
      </c>
      <c r="J216" s="25" t="n">
        <v>0</v>
      </c>
      <c r="K216" s="25" t="n">
        <v>0</v>
      </c>
      <c r="L216" s="25" t="n">
        <v>0</v>
      </c>
      <c r="M216" s="25" t="n">
        <v>0</v>
      </c>
      <c r="N216" s="25" t="n">
        <v>0</v>
      </c>
      <c r="O216" s="25" t="n">
        <v>0</v>
      </c>
      <c r="P216" s="21" t="n">
        <f aca="false">SUM(D216:O216)</f>
        <v>0</v>
      </c>
      <c r="Q216" s="25" t="n">
        <f aca="false">SUM(D216:J216)</f>
        <v>0</v>
      </c>
      <c r="R216" s="21" t="n">
        <f aca="false">P216-Q216</f>
        <v>0</v>
      </c>
      <c r="T216" s="25" t="n">
        <f aca="false">SUM(C216:J216)</f>
        <v>0</v>
      </c>
      <c r="U216" s="21"/>
      <c r="W216" s="39"/>
    </row>
    <row r="217" customFormat="false" ht="12.75" hidden="false" customHeight="false" outlineLevel="0" collapsed="false">
      <c r="A217" s="22" t="s">
        <v>138</v>
      </c>
      <c r="B217" s="27"/>
      <c r="C217" s="25" t="n">
        <v>251</v>
      </c>
      <c r="D217" s="40" t="n">
        <f aca="false">-D83</f>
        <v>-0</v>
      </c>
      <c r="E217" s="40" t="n">
        <f aca="false">-E83</f>
        <v>-0</v>
      </c>
      <c r="F217" s="40" t="n">
        <f aca="false">-F83</f>
        <v>-0</v>
      </c>
      <c r="G217" s="40" t="n">
        <f aca="false">-G83</f>
        <v>-0</v>
      </c>
      <c r="H217" s="40" t="n">
        <f aca="false">-H83</f>
        <v>-0</v>
      </c>
      <c r="I217" s="40" t="n">
        <f aca="false">-I83</f>
        <v>-0</v>
      </c>
      <c r="J217" s="40" t="n">
        <f aca="false">-J83</f>
        <v>-0</v>
      </c>
      <c r="K217" s="40" t="n">
        <f aca="false">-K83</f>
        <v>-0</v>
      </c>
      <c r="L217" s="40" t="n">
        <f aca="false">-L83</f>
        <v>-0</v>
      </c>
      <c r="M217" s="40" t="n">
        <f aca="false">-M83</f>
        <v>89</v>
      </c>
      <c r="N217" s="40" t="n">
        <f aca="false">-N83</f>
        <v>-0</v>
      </c>
      <c r="O217" s="40" t="n">
        <f aca="false">-O83</f>
        <v>-0</v>
      </c>
      <c r="P217" s="21" t="n">
        <f aca="false">SUM(D217:O217)</f>
        <v>89</v>
      </c>
      <c r="Q217" s="25" t="n">
        <f aca="false">SUM(D217:J217)</f>
        <v>0</v>
      </c>
      <c r="R217" s="21" t="n">
        <f aca="false">P217-Q217</f>
        <v>89</v>
      </c>
      <c r="T217" s="25" t="n">
        <f aca="false">SUM(C217:J217)</f>
        <v>251</v>
      </c>
      <c r="U217" s="21"/>
      <c r="W217" s="39"/>
    </row>
    <row r="218" customFormat="false" ht="12.75" hidden="false" customHeight="false" outlineLevel="0" collapsed="false">
      <c r="A218" s="22" t="s">
        <v>133</v>
      </c>
      <c r="B218" s="27"/>
      <c r="C218" s="25" t="n">
        <v>0</v>
      </c>
      <c r="D218" s="31" t="n">
        <f aca="false">[1]Source!D66</f>
        <v>-20</v>
      </c>
      <c r="E218" s="31" t="n">
        <f aca="false">[1]Source!E66</f>
        <v>-20</v>
      </c>
      <c r="F218" s="31" t="n">
        <f aca="false">[1]Source!F66</f>
        <v>-21</v>
      </c>
      <c r="G218" s="30" t="n">
        <f aca="false">[1]Source!G66-1</f>
        <v>-21</v>
      </c>
      <c r="H218" s="30" t="n">
        <f aca="false">[1]Source!H66+1</f>
        <v>-19</v>
      </c>
      <c r="I218" s="31" t="n">
        <f aca="false">[1]Source!I66</f>
        <v>-20</v>
      </c>
      <c r="J218" s="31" t="n">
        <f aca="false">[1]Source!J66</f>
        <v>-20</v>
      </c>
      <c r="K218" s="31" t="n">
        <f aca="false">[1]Source!K66</f>
        <v>-17</v>
      </c>
      <c r="L218" s="31" t="n">
        <f aca="false">[1]Source!L66</f>
        <v>-17</v>
      </c>
      <c r="M218" s="31" t="n">
        <f aca="false">[1]Source!M66</f>
        <v>-11</v>
      </c>
      <c r="N218" s="31" t="n">
        <f aca="false">[1]Source!N66</f>
        <v>-11</v>
      </c>
      <c r="O218" s="31" t="n">
        <f aca="false">[1]Source!O66</f>
        <v>-12</v>
      </c>
      <c r="P218" s="21" t="n">
        <f aca="false">SUM(D218:O218)</f>
        <v>-209</v>
      </c>
      <c r="Q218" s="25" t="n">
        <f aca="false">SUM(D218:J218)</f>
        <v>-141</v>
      </c>
      <c r="R218" s="21" t="n">
        <f aca="false">P218-Q218</f>
        <v>-68</v>
      </c>
      <c r="T218" s="25" t="n">
        <f aca="false">SUM(C218:J218)</f>
        <v>-141</v>
      </c>
      <c r="U218" s="21" t="n">
        <f aca="false">SUM(T216:T218)</f>
        <v>110</v>
      </c>
      <c r="W218" s="39"/>
    </row>
    <row r="219" customFormat="false" ht="12.75" hidden="false" customHeight="false" outlineLevel="0" collapsed="false">
      <c r="A219" s="22" t="s">
        <v>141</v>
      </c>
      <c r="C219" s="25" t="n">
        <v>0</v>
      </c>
      <c r="D219" s="25" t="n">
        <v>0</v>
      </c>
      <c r="E219" s="25" t="n">
        <v>0</v>
      </c>
      <c r="F219" s="25" t="n">
        <v>0</v>
      </c>
      <c r="G219" s="25" t="n">
        <v>0</v>
      </c>
      <c r="H219" s="25" t="n">
        <v>0</v>
      </c>
      <c r="I219" s="25" t="n">
        <v>0</v>
      </c>
      <c r="J219" s="25" t="n">
        <v>0</v>
      </c>
      <c r="K219" s="25" t="n">
        <v>0</v>
      </c>
      <c r="L219" s="25" t="n">
        <v>0</v>
      </c>
      <c r="M219" s="25" t="n">
        <v>0</v>
      </c>
      <c r="N219" s="25" t="n">
        <v>0</v>
      </c>
      <c r="O219" s="25" t="n">
        <v>0</v>
      </c>
      <c r="P219" s="21" t="n">
        <f aca="false">SUM(D219:O219)</f>
        <v>0</v>
      </c>
      <c r="Q219" s="25" t="n">
        <f aca="false">SUM(D219:J219)</f>
        <v>0</v>
      </c>
      <c r="R219" s="21" t="n">
        <f aca="false">P219-Q219</f>
        <v>0</v>
      </c>
      <c r="T219" s="25" t="n">
        <f aca="false">SUM(C219:J219)</f>
        <v>0</v>
      </c>
      <c r="U219" s="21"/>
    </row>
    <row r="220" customFormat="false" ht="12.75" hidden="false" customHeight="false" outlineLevel="0" collapsed="false">
      <c r="A220" s="22" t="s">
        <v>142</v>
      </c>
      <c r="B220" s="27"/>
      <c r="C220" s="25" t="n">
        <v>0</v>
      </c>
      <c r="D220" s="25" t="n">
        <v>0</v>
      </c>
      <c r="E220" s="25" t="n">
        <v>0</v>
      </c>
      <c r="F220" s="25" t="n">
        <v>0</v>
      </c>
      <c r="G220" s="25" t="n">
        <v>0</v>
      </c>
      <c r="H220" s="25" t="n">
        <v>0</v>
      </c>
      <c r="I220" s="25" t="n">
        <v>0</v>
      </c>
      <c r="J220" s="25" t="n">
        <v>0</v>
      </c>
      <c r="K220" s="25" t="n">
        <v>0</v>
      </c>
      <c r="L220" s="25" t="n">
        <v>0</v>
      </c>
      <c r="M220" s="25" t="n">
        <v>0</v>
      </c>
      <c r="N220" s="25" t="n">
        <v>0</v>
      </c>
      <c r="O220" s="25" t="n">
        <v>0</v>
      </c>
      <c r="P220" s="21" t="n">
        <f aca="false">SUM(D220:O220)</f>
        <v>0</v>
      </c>
      <c r="Q220" s="25" t="n">
        <f aca="false">SUM(D220:J220)</f>
        <v>0</v>
      </c>
      <c r="R220" s="21" t="n">
        <f aca="false">P220-Q220</f>
        <v>0</v>
      </c>
      <c r="T220" s="25" t="n">
        <f aca="false">SUM(C220:J220)</f>
        <v>0</v>
      </c>
      <c r="U220" s="21"/>
    </row>
    <row r="221" customFormat="false" ht="12.75" hidden="false" customHeight="false" outlineLevel="0" collapsed="false">
      <c r="A221" s="22" t="s">
        <v>133</v>
      </c>
      <c r="B221" s="27"/>
      <c r="C221" s="25" t="n">
        <v>0</v>
      </c>
      <c r="D221" s="31" t="n">
        <f aca="false">[1]Source!D74</f>
        <v>0</v>
      </c>
      <c r="E221" s="31" t="n">
        <f aca="false">[1]Source!E74</f>
        <v>0</v>
      </c>
      <c r="F221" s="31" t="n">
        <f aca="false">[1]Source!F74</f>
        <v>0</v>
      </c>
      <c r="G221" s="31" t="n">
        <f aca="false">[1]Source!G74</f>
        <v>0</v>
      </c>
      <c r="H221" s="31" t="n">
        <f aca="false">[1]Source!H74</f>
        <v>0</v>
      </c>
      <c r="I221" s="31" t="n">
        <f aca="false">[1]Source!I74</f>
        <v>0</v>
      </c>
      <c r="J221" s="31" t="n">
        <f aca="false">[1]Source!J74</f>
        <v>0</v>
      </c>
      <c r="K221" s="31" t="n">
        <f aca="false">[1]Source!K74</f>
        <v>0</v>
      </c>
      <c r="L221" s="31" t="n">
        <f aca="false">[1]Source!L74</f>
        <v>0</v>
      </c>
      <c r="M221" s="31" t="n">
        <f aca="false">[1]Source!M74</f>
        <v>0</v>
      </c>
      <c r="N221" s="31" t="n">
        <f aca="false">[1]Source!N74</f>
        <v>0</v>
      </c>
      <c r="O221" s="31" t="n">
        <f aca="false">[1]Source!O74</f>
        <v>0</v>
      </c>
      <c r="P221" s="21" t="n">
        <f aca="false">SUM(D221:O221)</f>
        <v>0</v>
      </c>
      <c r="Q221" s="25" t="n">
        <f aca="false">SUM(D221:J221)</f>
        <v>0</v>
      </c>
      <c r="R221" s="21" t="n">
        <f aca="false">P221-Q221</f>
        <v>0</v>
      </c>
      <c r="T221" s="25" t="n">
        <f aca="false">SUM(C221:J221)</f>
        <v>0</v>
      </c>
      <c r="U221" s="21" t="n">
        <f aca="false">SUM(T219:T221)</f>
        <v>0</v>
      </c>
    </row>
    <row r="222" customFormat="false" ht="12.75" hidden="false" customHeight="false" outlineLevel="0" collapsed="false">
      <c r="A222" s="22" t="s">
        <v>143</v>
      </c>
      <c r="C222" s="25" t="n">
        <v>0</v>
      </c>
      <c r="D222" s="25" t="n">
        <v>0</v>
      </c>
      <c r="E222" s="25" t="n">
        <v>0</v>
      </c>
      <c r="F222" s="25" t="n">
        <v>0</v>
      </c>
      <c r="G222" s="25" t="n">
        <v>0</v>
      </c>
      <c r="H222" s="25" t="n">
        <v>0</v>
      </c>
      <c r="I222" s="25" t="n">
        <v>0</v>
      </c>
      <c r="J222" s="25" t="n">
        <v>0</v>
      </c>
      <c r="K222" s="25" t="n">
        <v>0</v>
      </c>
      <c r="L222" s="25" t="n">
        <v>0</v>
      </c>
      <c r="M222" s="25" t="n">
        <v>0</v>
      </c>
      <c r="N222" s="25" t="n">
        <v>0</v>
      </c>
      <c r="O222" s="25" t="n">
        <v>0</v>
      </c>
      <c r="P222" s="21" t="n">
        <f aca="false">SUM(D222:O222)</f>
        <v>0</v>
      </c>
      <c r="Q222" s="25" t="n">
        <f aca="false">SUM(D222:J222)</f>
        <v>0</v>
      </c>
      <c r="R222" s="21" t="n">
        <f aca="false">P237-Q237</f>
        <v>0</v>
      </c>
      <c r="T222" s="25" t="n">
        <f aca="false">SUM(C222:J222)</f>
        <v>0</v>
      </c>
      <c r="U222" s="21"/>
      <c r="W222" s="39"/>
    </row>
    <row r="223" customFormat="false" ht="12.75" hidden="false" customHeight="false" outlineLevel="0" collapsed="false">
      <c r="A223" s="22" t="s">
        <v>144</v>
      </c>
      <c r="B223" s="27"/>
      <c r="C223" s="25" t="n">
        <v>0</v>
      </c>
      <c r="D223" s="25" t="n">
        <v>0</v>
      </c>
      <c r="E223" s="25" t="n">
        <v>0</v>
      </c>
      <c r="F223" s="25" t="n">
        <v>0</v>
      </c>
      <c r="G223" s="25" t="n">
        <v>0</v>
      </c>
      <c r="H223" s="25" t="n">
        <v>0</v>
      </c>
      <c r="I223" s="25" t="n">
        <v>0</v>
      </c>
      <c r="J223" s="25" t="n">
        <v>0</v>
      </c>
      <c r="K223" s="25" t="n">
        <v>0</v>
      </c>
      <c r="L223" s="25" t="n">
        <v>0</v>
      </c>
      <c r="M223" s="25" t="n">
        <v>0</v>
      </c>
      <c r="N223" s="25" t="n">
        <v>0</v>
      </c>
      <c r="O223" s="25" t="n">
        <v>0</v>
      </c>
      <c r="P223" s="21" t="n">
        <f aca="false">SUM(D223:O223)</f>
        <v>0</v>
      </c>
      <c r="Q223" s="25" t="n">
        <f aca="false">SUM(D223:J223)</f>
        <v>0</v>
      </c>
      <c r="R223" s="21" t="n">
        <f aca="false">P223-Q223</f>
        <v>0</v>
      </c>
      <c r="T223" s="25" t="n">
        <f aca="false">SUM(C223:J223)</f>
        <v>0</v>
      </c>
      <c r="U223" s="21"/>
      <c r="W223" s="39"/>
    </row>
    <row r="224" customFormat="false" ht="12.75" hidden="false" customHeight="false" outlineLevel="0" collapsed="false">
      <c r="A224" s="22" t="s">
        <v>133</v>
      </c>
      <c r="B224" s="27"/>
      <c r="C224" s="25" t="n">
        <v>0</v>
      </c>
      <c r="D224" s="31" t="n">
        <f aca="false">[1]Source!D24</f>
        <v>0</v>
      </c>
      <c r="E224" s="31" t="n">
        <f aca="false">[1]Source!E24</f>
        <v>0</v>
      </c>
      <c r="F224" s="31" t="n">
        <f aca="false">[1]Source!F24</f>
        <v>0</v>
      </c>
      <c r="G224" s="31" t="n">
        <f aca="false">[1]Source!G24</f>
        <v>0</v>
      </c>
      <c r="H224" s="31" t="n">
        <f aca="false">[1]Source!H24</f>
        <v>0</v>
      </c>
      <c r="I224" s="31" t="n">
        <f aca="false">[1]Source!I24</f>
        <v>0</v>
      </c>
      <c r="J224" s="31" t="n">
        <f aca="false">[1]Source!J24</f>
        <v>0</v>
      </c>
      <c r="K224" s="31" t="n">
        <f aca="false">[1]Source!K24</f>
        <v>0</v>
      </c>
      <c r="L224" s="31" t="n">
        <f aca="false">[1]Source!L24</f>
        <v>0</v>
      </c>
      <c r="M224" s="31" t="n">
        <f aca="false">[1]Source!M24</f>
        <v>0</v>
      </c>
      <c r="N224" s="31" t="n">
        <f aca="false">[1]Source!N24</f>
        <v>0</v>
      </c>
      <c r="O224" s="31" t="n">
        <f aca="false">[1]Source!O24</f>
        <v>0</v>
      </c>
      <c r="P224" s="21" t="n">
        <f aca="false">SUM(D224:O224)</f>
        <v>0</v>
      </c>
      <c r="Q224" s="25" t="n">
        <f aca="false">SUM(D224:J224)</f>
        <v>0</v>
      </c>
      <c r="R224" s="21" t="n">
        <f aca="false">P224-Q224</f>
        <v>0</v>
      </c>
      <c r="T224" s="25" t="n">
        <f aca="false">SUM(C224:J224)</f>
        <v>0</v>
      </c>
      <c r="U224" s="21" t="n">
        <f aca="false">SUM(T222:T224)</f>
        <v>0</v>
      </c>
      <c r="W224" s="39"/>
    </row>
    <row r="225" customFormat="false" ht="12.75" hidden="false" customHeight="false" outlineLevel="0" collapsed="false">
      <c r="A225" s="22" t="s">
        <v>145</v>
      </c>
      <c r="C225" s="25" t="n">
        <v>1940</v>
      </c>
      <c r="D225" s="21" t="n">
        <f aca="false">-[1]Source!D57</f>
        <v>-2</v>
      </c>
      <c r="E225" s="21" t="n">
        <f aca="false">-[1]Source!E57</f>
        <v>-3</v>
      </c>
      <c r="F225" s="30" t="n">
        <f aca="false">-[1]Source!F57-1</f>
        <v>-3</v>
      </c>
      <c r="G225" s="30" t="n">
        <f aca="false">-[1]Source!G57+1</f>
        <v>-2</v>
      </c>
      <c r="H225" s="30" t="n">
        <f aca="false">-[1]Source!H57-1</f>
        <v>-3</v>
      </c>
      <c r="I225" s="21" t="n">
        <f aca="false">-[1]Source!I57</f>
        <v>-3</v>
      </c>
      <c r="J225" s="30" t="n">
        <f aca="false">-[1]Source!J57-1</f>
        <v>-3</v>
      </c>
      <c r="K225" s="21" t="n">
        <f aca="false">-[1]Source!K57</f>
        <v>-3</v>
      </c>
      <c r="L225" s="21" t="n">
        <f aca="false">-[1]Source!L57</f>
        <v>-2</v>
      </c>
      <c r="M225" s="21" t="n">
        <f aca="false">-[1]Source!M57</f>
        <v>-3</v>
      </c>
      <c r="N225" s="21" t="n">
        <f aca="false">-[1]Source!N57</f>
        <v>-2</v>
      </c>
      <c r="O225" s="21" t="n">
        <f aca="false">-[1]Source!O57</f>
        <v>-3</v>
      </c>
      <c r="P225" s="21" t="n">
        <f aca="false">SUM(D225:O225)</f>
        <v>-32</v>
      </c>
      <c r="Q225" s="25" t="n">
        <f aca="false">SUM(D225:J225)</f>
        <v>-19</v>
      </c>
      <c r="R225" s="21" t="n">
        <f aca="false">P225-Q225</f>
        <v>-13</v>
      </c>
      <c r="T225" s="25" t="n">
        <f aca="false">SUM(C225:J225)</f>
        <v>1921</v>
      </c>
      <c r="U225" s="21" t="n">
        <f aca="false">T225</f>
        <v>1921</v>
      </c>
      <c r="W225" s="39"/>
    </row>
    <row r="226" customFormat="false" ht="12.75" hidden="false" customHeight="false" outlineLevel="0" collapsed="false">
      <c r="A226" s="22" t="s">
        <v>146</v>
      </c>
      <c r="C226" s="25" t="n">
        <v>0</v>
      </c>
      <c r="D226" s="21" t="n">
        <f aca="false">[1]Source!D50</f>
        <v>0</v>
      </c>
      <c r="E226" s="30" t="n">
        <f aca="false">[1]Source!E50+23</f>
        <v>3023</v>
      </c>
      <c r="F226" s="30" t="n">
        <f aca="false">[1]Source!F50-23</f>
        <v>-50</v>
      </c>
      <c r="G226" s="21" t="n">
        <f aca="false">[1]Source!G50</f>
        <v>24</v>
      </c>
      <c r="H226" s="21" t="n">
        <f aca="false">[1]Source!H50</f>
        <v>22</v>
      </c>
      <c r="I226" s="21" t="n">
        <f aca="false">[1]Source!I50</f>
        <v>23</v>
      </c>
      <c r="J226" s="21" t="n">
        <f aca="false">[1]Source!J50</f>
        <v>23</v>
      </c>
      <c r="K226" s="21" t="n">
        <f aca="false">[1]Source!K50</f>
        <v>20</v>
      </c>
      <c r="L226" s="21" t="n">
        <f aca="false">[1]Source!L50</f>
        <v>20</v>
      </c>
      <c r="M226" s="21" t="n">
        <f aca="false">[1]Source!M50</f>
        <v>20</v>
      </c>
      <c r="N226" s="21" t="n">
        <f aca="false">[1]Source!N50</f>
        <v>20</v>
      </c>
      <c r="O226" s="21" t="n">
        <f aca="false">[1]Source!O50</f>
        <v>21</v>
      </c>
      <c r="P226" s="21" t="n">
        <f aca="false">SUM(D226:O226)</f>
        <v>3166</v>
      </c>
      <c r="Q226" s="25" t="n">
        <f aca="false">SUM(D226:J226)</f>
        <v>3065</v>
      </c>
      <c r="R226" s="21" t="n">
        <f aca="false">P226-Q226</f>
        <v>101</v>
      </c>
      <c r="T226" s="25" t="n">
        <f aca="false">SUM(C226:J226)</f>
        <v>3065</v>
      </c>
      <c r="U226" s="21" t="n">
        <f aca="false">T226</f>
        <v>3065</v>
      </c>
    </row>
    <row r="227" customFormat="false" ht="12.75" hidden="false" customHeight="false" outlineLevel="0" collapsed="false">
      <c r="A227" s="22" t="s">
        <v>147</v>
      </c>
      <c r="C227" s="25" t="n">
        <v>23512</v>
      </c>
      <c r="D227" s="25" t="n">
        <v>0</v>
      </c>
      <c r="E227" s="25" t="n">
        <v>0</v>
      </c>
      <c r="F227" s="25" t="n">
        <v>0</v>
      </c>
      <c r="G227" s="25" t="n">
        <v>0</v>
      </c>
      <c r="H227" s="25" t="n">
        <v>0</v>
      </c>
      <c r="I227" s="25" t="n">
        <v>0</v>
      </c>
      <c r="J227" s="25" t="n">
        <v>0</v>
      </c>
      <c r="K227" s="25" t="n">
        <v>0</v>
      </c>
      <c r="L227" s="25" t="n">
        <v>0</v>
      </c>
      <c r="M227" s="25" t="n">
        <v>0</v>
      </c>
      <c r="N227" s="25" t="n">
        <v>0</v>
      </c>
      <c r="O227" s="25" t="n">
        <v>0</v>
      </c>
      <c r="P227" s="21" t="n">
        <f aca="false">SUM(D227:O227)</f>
        <v>0</v>
      </c>
      <c r="Q227" s="25" t="n">
        <f aca="false">SUM(D227:J227)</f>
        <v>0</v>
      </c>
      <c r="R227" s="21" t="n">
        <f aca="false">P227-Q227</f>
        <v>0</v>
      </c>
      <c r="T227" s="25" t="n">
        <f aca="false">SUM(C227:J227)</f>
        <v>23512</v>
      </c>
      <c r="U227" s="21"/>
    </row>
    <row r="228" customFormat="false" ht="12.75" hidden="false" customHeight="false" outlineLevel="0" collapsed="false">
      <c r="A228" s="22" t="s">
        <v>148</v>
      </c>
      <c r="B228" s="27" t="s">
        <v>34</v>
      </c>
      <c r="C228" s="25" t="n">
        <v>-1690</v>
      </c>
      <c r="D228" s="31" t="n">
        <f aca="false">[1]Source!D61</f>
        <v>-23</v>
      </c>
      <c r="E228" s="30" t="n">
        <f aca="false">[1]Source!E61-1</f>
        <v>22</v>
      </c>
      <c r="F228" s="31" t="n">
        <f aca="false">[1]Source!F61</f>
        <v>-25</v>
      </c>
      <c r="G228" s="31" t="n">
        <f aca="false">[1]Source!G61</f>
        <v>-72</v>
      </c>
      <c r="H228" s="30" t="n">
        <f aca="false">[1]Source!H61+1</f>
        <v>-27</v>
      </c>
      <c r="I228" s="31" t="n">
        <f aca="false">[1]Source!I61</f>
        <v>-27</v>
      </c>
      <c r="J228" s="31" t="n">
        <f aca="false">[1]Source!J61</f>
        <v>-27</v>
      </c>
      <c r="K228" s="31" t="n">
        <f aca="false">[1]Source!K61</f>
        <v>-27</v>
      </c>
      <c r="L228" s="31" t="n">
        <f aca="false">[1]Source!L61</f>
        <v>-27</v>
      </c>
      <c r="M228" s="31" t="n">
        <f aca="false">[1]Source!M61</f>
        <v>-27</v>
      </c>
      <c r="N228" s="31" t="n">
        <f aca="false">[1]Source!N61</f>
        <v>-27</v>
      </c>
      <c r="O228" s="31" t="n">
        <f aca="false">[1]Source!O61</f>
        <v>-27</v>
      </c>
      <c r="P228" s="21" t="n">
        <f aca="false">SUM(D228:O228)</f>
        <v>-314</v>
      </c>
      <c r="Q228" s="25" t="n">
        <f aca="false">SUM(D228:J228)</f>
        <v>-179</v>
      </c>
      <c r="R228" s="21" t="n">
        <f aca="false">P228-Q228</f>
        <v>-135</v>
      </c>
      <c r="T228" s="25" t="n">
        <f aca="false">SUM(C228:J228)</f>
        <v>-1869</v>
      </c>
      <c r="U228" s="21" t="n">
        <f aca="false">SUM(T227:T228)</f>
        <v>21643</v>
      </c>
      <c r="W228" s="39"/>
    </row>
    <row r="229" customFormat="false" ht="12.75" hidden="false" customHeight="false" outlineLevel="0" collapsed="false">
      <c r="A229" s="22" t="s">
        <v>149</v>
      </c>
      <c r="B229" s="27" t="s">
        <v>34</v>
      </c>
      <c r="C229" s="25" t="n">
        <v>41375</v>
      </c>
      <c r="D229" s="31" t="n">
        <f aca="false">-[1]Source!D32</f>
        <v>143</v>
      </c>
      <c r="E229" s="30" t="n">
        <f aca="false">-[1]Source!E32+1</f>
        <v>144</v>
      </c>
      <c r="F229" s="31" t="n">
        <f aca="false">-[1]Source!F32</f>
        <v>144</v>
      </c>
      <c r="G229" s="31" t="n">
        <f aca="false">-[1]Source!G32</f>
        <v>143</v>
      </c>
      <c r="H229" s="30" t="n">
        <f aca="false">-[1]Source!H32+1</f>
        <v>144</v>
      </c>
      <c r="I229" s="30" t="n">
        <f aca="false">-[1]Source!I32-1</f>
        <v>143</v>
      </c>
      <c r="J229" s="30" t="n">
        <f aca="false">-[1]Source!J32+1</f>
        <v>144</v>
      </c>
      <c r="K229" s="31" t="n">
        <f aca="false">-[1]Source!K32</f>
        <v>144</v>
      </c>
      <c r="L229" s="31" t="n">
        <f aca="false">-[1]Source!L32</f>
        <v>143</v>
      </c>
      <c r="M229" s="31" t="n">
        <f aca="false">-[1]Source!M32</f>
        <v>144</v>
      </c>
      <c r="N229" s="31" t="n">
        <f aca="false">-[1]Source!N32</f>
        <v>-349</v>
      </c>
      <c r="O229" s="31" t="n">
        <f aca="false">-[1]Source!O32</f>
        <v>-350</v>
      </c>
      <c r="P229" s="21" t="n">
        <f aca="false">SUM(D229:O229)</f>
        <v>737</v>
      </c>
      <c r="Q229" s="25" t="n">
        <f aca="false">SUM(D229:J229)</f>
        <v>1005</v>
      </c>
      <c r="R229" s="21" t="n">
        <f aca="false">P229-Q229</f>
        <v>-268</v>
      </c>
      <c r="T229" s="25" t="n">
        <f aca="false">SUM(C229:J229)</f>
        <v>42380</v>
      </c>
      <c r="U229" s="21" t="n">
        <f aca="false">T229</f>
        <v>42380</v>
      </c>
      <c r="W229" s="39"/>
    </row>
    <row r="230" customFormat="false" ht="12.75" hidden="false" customHeight="false" outlineLevel="0" collapsed="false">
      <c r="A230" s="22" t="s">
        <v>150</v>
      </c>
      <c r="B230" s="27"/>
      <c r="C230" s="25" t="n">
        <v>2502</v>
      </c>
      <c r="D230" s="32" t="n">
        <f aca="false">-[1]Source!D27-D91</f>
        <v>315</v>
      </c>
      <c r="E230" s="32" t="n">
        <f aca="false">-[1]Source!E27-E91</f>
        <v>-61</v>
      </c>
      <c r="F230" s="32" t="n">
        <f aca="false">-[1]Source!F27-F91</f>
        <v>-60</v>
      </c>
      <c r="G230" s="32" t="n">
        <f aca="false">-[1]Source!G27-G91</f>
        <v>-60</v>
      </c>
      <c r="H230" s="32" t="n">
        <f aca="false">-[1]Source!H27-H91</f>
        <v>-61</v>
      </c>
      <c r="I230" s="32" t="n">
        <f aca="false">-[1]Source!I27-I91</f>
        <v>-60</v>
      </c>
      <c r="J230" s="30" t="n">
        <f aca="false">-[1]Source!J27-J91-1</f>
        <v>-60</v>
      </c>
      <c r="K230" s="32" t="n">
        <f aca="false">-[1]Source!K27-K91</f>
        <v>343</v>
      </c>
      <c r="L230" s="32" t="n">
        <f aca="false">-[1]Source!L27-L91</f>
        <v>-60</v>
      </c>
      <c r="M230" s="32" t="n">
        <f aca="false">-[1]Source!M27-M91</f>
        <v>-60</v>
      </c>
      <c r="N230" s="32" t="n">
        <f aca="false">-[1]Source!N27-N91</f>
        <v>-60</v>
      </c>
      <c r="O230" s="41" t="n">
        <f aca="false">-[1]Source!O27-O91+700</f>
        <v>640</v>
      </c>
      <c r="P230" s="21" t="n">
        <f aca="false">SUM(D230:O230)</f>
        <v>756</v>
      </c>
      <c r="Q230" s="25" t="n">
        <f aca="false">SUM(D230:J230)</f>
        <v>-47</v>
      </c>
      <c r="R230" s="21" t="n">
        <f aca="false">P230-Q230</f>
        <v>803</v>
      </c>
      <c r="T230" s="25" t="n">
        <f aca="false">SUM(C230:J230)</f>
        <v>2455</v>
      </c>
      <c r="U230" s="21" t="n">
        <f aca="false">T230</f>
        <v>2455</v>
      </c>
      <c r="W230" s="39"/>
    </row>
    <row r="231" customFormat="false" ht="12.75" hidden="false" customHeight="false" outlineLevel="0" collapsed="false">
      <c r="A231" s="22" t="s">
        <v>72</v>
      </c>
      <c r="B231" s="27" t="s">
        <v>34</v>
      </c>
      <c r="C231" s="25" t="n">
        <v>11284</v>
      </c>
      <c r="D231" s="31" t="n">
        <f aca="false">[1]Source!D29</f>
        <v>-86</v>
      </c>
      <c r="E231" s="31" t="n">
        <f aca="false">[1]Source!E29</f>
        <v>-85</v>
      </c>
      <c r="F231" s="31" t="n">
        <f aca="false">[1]Source!F29</f>
        <v>-86</v>
      </c>
      <c r="G231" s="30" t="n">
        <f aca="false">[1]Source!G29+1</f>
        <v>-85</v>
      </c>
      <c r="H231" s="31" t="n">
        <f aca="false">[1]Source!H29</f>
        <v>-86</v>
      </c>
      <c r="I231" s="31" t="n">
        <f aca="false">[1]Source!I29</f>
        <v>-85</v>
      </c>
      <c r="J231" s="31" t="n">
        <f aca="false">[1]Source!J29</f>
        <v>-86</v>
      </c>
      <c r="K231" s="31" t="n">
        <f aca="false">[1]Source!K29</f>
        <v>-85</v>
      </c>
      <c r="L231" s="31" t="n">
        <f aca="false">[1]Source!L29</f>
        <v>-86</v>
      </c>
      <c r="M231" s="31" t="n">
        <f aca="false">[1]Source!M29</f>
        <v>-85</v>
      </c>
      <c r="N231" s="31" t="n">
        <f aca="false">[1]Source!N29</f>
        <v>-86</v>
      </c>
      <c r="O231" s="31" t="n">
        <f aca="false">[1]Source!O29</f>
        <v>-86</v>
      </c>
      <c r="P231" s="21" t="n">
        <f aca="false">SUM(D231:O231)</f>
        <v>-1027</v>
      </c>
      <c r="Q231" s="25" t="n">
        <f aca="false">SUM(D231:J231)</f>
        <v>-599</v>
      </c>
      <c r="R231" s="21" t="n">
        <f aca="false">P231-Q231</f>
        <v>-428</v>
      </c>
      <c r="T231" s="25" t="n">
        <f aca="false">SUM(C231:J231)</f>
        <v>10685</v>
      </c>
      <c r="U231" s="21" t="n">
        <f aca="false">T231</f>
        <v>10685</v>
      </c>
      <c r="W231" s="39"/>
    </row>
    <row r="232" customFormat="false" ht="12.75" hidden="false" customHeight="false" outlineLevel="0" collapsed="false">
      <c r="A232" s="22" t="s">
        <v>67</v>
      </c>
      <c r="B232" s="27" t="s">
        <v>34</v>
      </c>
      <c r="C232" s="25" t="n">
        <v>26364</v>
      </c>
      <c r="D232" s="32" t="n">
        <f aca="false">[1]Source!D60-D85</f>
        <v>-219</v>
      </c>
      <c r="E232" s="32" t="n">
        <f aca="false">[1]Source!E60-E85</f>
        <v>-219</v>
      </c>
      <c r="F232" s="32" t="n">
        <f aca="false">[1]Source!F60-F85</f>
        <v>-219</v>
      </c>
      <c r="G232" s="30" t="n">
        <f aca="false">[1]Source!G60-G85-1</f>
        <v>-219</v>
      </c>
      <c r="H232" s="32" t="n">
        <f aca="false">[1]Source!H60-H85</f>
        <v>-219</v>
      </c>
      <c r="I232" s="30" t="n">
        <f aca="false">[1]Source!I60-I85+1</f>
        <v>-218</v>
      </c>
      <c r="J232" s="41" t="n">
        <f aca="false">[1]Source!J60-J85+1023</f>
        <v>-220</v>
      </c>
      <c r="K232" s="32" t="n">
        <f aca="false">[1]Source!K60-K85</f>
        <v>-217</v>
      </c>
      <c r="L232" s="32" t="n">
        <f aca="false">[1]Source!L60-L85</f>
        <v>-218</v>
      </c>
      <c r="M232" s="32" t="n">
        <f aca="false">[1]Source!M60-M85</f>
        <v>-218</v>
      </c>
      <c r="N232" s="32" t="n">
        <f aca="false">[1]Source!N60-N85</f>
        <v>-219</v>
      </c>
      <c r="O232" s="32" t="n">
        <f aca="false">[1]Source!O60-O85</f>
        <v>-219</v>
      </c>
      <c r="P232" s="21" t="n">
        <f aca="false">SUM(D232:O232)</f>
        <v>-2624</v>
      </c>
      <c r="Q232" s="25" t="n">
        <f aca="false">SUM(D232:J232)</f>
        <v>-1533</v>
      </c>
      <c r="R232" s="21" t="n">
        <f aca="false">P232-Q232</f>
        <v>-1091</v>
      </c>
      <c r="T232" s="25" t="n">
        <f aca="false">SUM(C232:J232)</f>
        <v>24831</v>
      </c>
      <c r="U232" s="21" t="n">
        <f aca="false">T232</f>
        <v>24831</v>
      </c>
      <c r="W232" s="39"/>
    </row>
    <row r="233" customFormat="false" ht="12.75" hidden="false" customHeight="false" outlineLevel="0" collapsed="false">
      <c r="A233" s="22" t="s">
        <v>151</v>
      </c>
      <c r="B233" s="27" t="s">
        <v>34</v>
      </c>
      <c r="C233" s="25" t="n">
        <v>15312</v>
      </c>
      <c r="D233" s="30" t="n">
        <f aca="false">[1]Source!D30-D86-1</f>
        <v>-128</v>
      </c>
      <c r="E233" s="32" t="n">
        <f aca="false">[1]Source!E30-E86</f>
        <v>-127</v>
      </c>
      <c r="F233" s="30" t="n">
        <f aca="false">[1]Source!F30-F86+1</f>
        <v>-127</v>
      </c>
      <c r="G233" s="32" t="n">
        <f aca="false">[1]Source!G30-G86</f>
        <v>-127</v>
      </c>
      <c r="H233" s="32" t="n">
        <f aca="false">[1]Source!H30-H86</f>
        <v>-127</v>
      </c>
      <c r="I233" s="32" t="n">
        <f aca="false">[1]Source!I30-I86</f>
        <v>-127</v>
      </c>
      <c r="J233" s="32" t="n">
        <f aca="false">[1]Source!J30-J86</f>
        <v>-127</v>
      </c>
      <c r="K233" s="32" t="n">
        <f aca="false">[1]Source!K30-K86</f>
        <v>-126</v>
      </c>
      <c r="L233" s="32" t="n">
        <f aca="false">[1]Source!L30-L86</f>
        <v>-127</v>
      </c>
      <c r="M233" s="32" t="n">
        <f aca="false">[1]Source!M30-M86</f>
        <v>-126</v>
      </c>
      <c r="N233" s="32" t="n">
        <f aca="false">[1]Source!N30-N86</f>
        <v>-127</v>
      </c>
      <c r="O233" s="32" t="n">
        <f aca="false">[1]Source!O30-O86</f>
        <v>-127</v>
      </c>
      <c r="P233" s="21" t="n">
        <f aca="false">SUM(D233:O233)</f>
        <v>-1523</v>
      </c>
      <c r="Q233" s="25" t="n">
        <f aca="false">SUM(D233:J233)</f>
        <v>-890</v>
      </c>
      <c r="R233" s="21" t="n">
        <f aca="false">P233-Q233</f>
        <v>-633</v>
      </c>
      <c r="T233" s="25" t="n">
        <f aca="false">SUM(C233:J233)</f>
        <v>14422</v>
      </c>
      <c r="U233" s="21" t="n">
        <f aca="false">T233</f>
        <v>14422</v>
      </c>
      <c r="W233" s="39"/>
    </row>
    <row r="234" customFormat="false" ht="12.75" hidden="false" customHeight="false" outlineLevel="0" collapsed="false">
      <c r="A234" s="22" t="s">
        <v>69</v>
      </c>
      <c r="B234" s="27" t="s">
        <v>34</v>
      </c>
      <c r="C234" s="25" t="n">
        <v>3797</v>
      </c>
      <c r="D234" s="32" t="n">
        <f aca="false">[1]Source!D59-D87</f>
        <v>-31</v>
      </c>
      <c r="E234" s="30" t="n">
        <f aca="false">[1]Source!E59-E87-1</f>
        <v>-32</v>
      </c>
      <c r="F234" s="30" t="n">
        <f aca="false">[1]Source!F59-F87+1</f>
        <v>-31</v>
      </c>
      <c r="G234" s="30" t="n">
        <f aca="false">[1]Source!G59-G87-1</f>
        <v>-32</v>
      </c>
      <c r="H234" s="30" t="n">
        <f aca="false">[1]Source!H59-H87+1</f>
        <v>-31</v>
      </c>
      <c r="I234" s="32" t="n">
        <f aca="false">[1]Source!I59-I87</f>
        <v>-32</v>
      </c>
      <c r="J234" s="32" t="n">
        <f aca="false">[1]Source!J59-J87</f>
        <v>-31</v>
      </c>
      <c r="K234" s="32" t="n">
        <f aca="false">[1]Source!K59-K87</f>
        <v>-31</v>
      </c>
      <c r="L234" s="32" t="n">
        <f aca="false">[1]Source!L59-L87</f>
        <v>-32</v>
      </c>
      <c r="M234" s="32" t="n">
        <f aca="false">[1]Source!M59-M87</f>
        <v>-31</v>
      </c>
      <c r="N234" s="32" t="n">
        <f aca="false">[1]Source!N59-N87</f>
        <v>-32</v>
      </c>
      <c r="O234" s="32" t="n">
        <f aca="false">[1]Source!O59-O87</f>
        <v>-32</v>
      </c>
      <c r="P234" s="21" t="n">
        <f aca="false">SUM(D234:O234)</f>
        <v>-378</v>
      </c>
      <c r="Q234" s="25" t="n">
        <f aca="false">SUM(D234:J234)</f>
        <v>-220</v>
      </c>
      <c r="R234" s="21" t="n">
        <f aca="false">P234-Q234</f>
        <v>-158</v>
      </c>
      <c r="T234" s="25" t="n">
        <f aca="false">SUM(C234:J234)</f>
        <v>3577</v>
      </c>
      <c r="U234" s="21" t="n">
        <f aca="false">T234</f>
        <v>3577</v>
      </c>
      <c r="W234" s="39"/>
    </row>
    <row r="235" customFormat="false" ht="12.75" hidden="false" customHeight="false" outlineLevel="0" collapsed="false">
      <c r="A235" s="22" t="s">
        <v>152</v>
      </c>
      <c r="B235" s="27" t="s">
        <v>34</v>
      </c>
      <c r="C235" s="25" t="n">
        <v>3378</v>
      </c>
      <c r="D235" s="30" t="n">
        <f aca="false">[1]Source!D31-D88-14</f>
        <v>-42</v>
      </c>
      <c r="E235" s="32" t="n">
        <f aca="false">[1]Source!E31-E88</f>
        <v>-28</v>
      </c>
      <c r="F235" s="30" t="n">
        <f aca="false">[1]Source!F31-F88+1</f>
        <v>-27</v>
      </c>
      <c r="G235" s="30" t="n">
        <f aca="false">[1]Source!G31-G88+1</f>
        <v>-28</v>
      </c>
      <c r="H235" s="30" t="n">
        <f aca="false">[1]Source!H31-H88-1</f>
        <v>-29</v>
      </c>
      <c r="I235" s="32" t="n">
        <f aca="false">[1]Source!I31-I88</f>
        <v>-28</v>
      </c>
      <c r="J235" s="30" t="n">
        <f aca="false">[1]Source!J31-J88+1</f>
        <v>-27</v>
      </c>
      <c r="K235" s="32" t="n">
        <f aca="false">[1]Source!K31-K88</f>
        <v>-27</v>
      </c>
      <c r="L235" s="32" t="n">
        <f aca="false">[1]Source!L31-L88</f>
        <v>-28</v>
      </c>
      <c r="M235" s="32" t="n">
        <f aca="false">[1]Source!M31-M88</f>
        <v>-28</v>
      </c>
      <c r="N235" s="32" t="n">
        <f aca="false">[1]Source!N31-N88</f>
        <v>-28</v>
      </c>
      <c r="O235" s="32" t="n">
        <f aca="false">[1]Source!O31-O88</f>
        <v>-28</v>
      </c>
      <c r="P235" s="21" t="n">
        <f aca="false">SUM(D235:O235)</f>
        <v>-348</v>
      </c>
      <c r="Q235" s="25" t="n">
        <f aca="false">SUM(D235:J235)</f>
        <v>-209</v>
      </c>
      <c r="R235" s="21" t="n">
        <f aca="false">P235-Q235</f>
        <v>-139</v>
      </c>
      <c r="T235" s="25" t="n">
        <f aca="false">SUM(C235:J235)</f>
        <v>3169</v>
      </c>
      <c r="U235" s="21" t="n">
        <f aca="false">T235</f>
        <v>3169</v>
      </c>
      <c r="W235" s="39"/>
    </row>
    <row r="236" customFormat="false" ht="12.75" hidden="false" customHeight="false" outlineLevel="0" collapsed="false">
      <c r="A236" s="22" t="s">
        <v>74</v>
      </c>
      <c r="B236" s="27"/>
      <c r="C236" s="25" t="n">
        <v>0</v>
      </c>
      <c r="D236" s="25" t="n">
        <v>0</v>
      </c>
      <c r="E236" s="25" t="n">
        <v>0</v>
      </c>
      <c r="F236" s="25" t="n">
        <v>0</v>
      </c>
      <c r="G236" s="25" t="n">
        <v>0</v>
      </c>
      <c r="H236" s="25" t="n">
        <v>0</v>
      </c>
      <c r="I236" s="25" t="n">
        <v>0</v>
      </c>
      <c r="J236" s="25" t="n">
        <v>0</v>
      </c>
      <c r="K236" s="25" t="n">
        <v>0</v>
      </c>
      <c r="L236" s="25" t="n">
        <v>0</v>
      </c>
      <c r="M236" s="25" t="n">
        <v>0</v>
      </c>
      <c r="N236" s="25" t="n">
        <v>0</v>
      </c>
      <c r="O236" s="25" t="n">
        <v>0</v>
      </c>
      <c r="P236" s="21" t="n">
        <f aca="false">SUM(D236:O236)</f>
        <v>0</v>
      </c>
      <c r="Q236" s="25" t="n">
        <f aca="false">SUM(D236:J236)</f>
        <v>0</v>
      </c>
      <c r="R236" s="21" t="n">
        <f aca="false">P236-Q236</f>
        <v>0</v>
      </c>
      <c r="T236" s="25" t="n">
        <f aca="false">SUM(C236:J236)</f>
        <v>0</v>
      </c>
      <c r="U236" s="21" t="n">
        <f aca="false">T236</f>
        <v>0</v>
      </c>
    </row>
    <row r="237" customFormat="false" ht="12.75" hidden="false" customHeight="false" outlineLevel="0" collapsed="false">
      <c r="A237" s="22" t="s">
        <v>153</v>
      </c>
      <c r="C237" s="25" t="n">
        <v>3687</v>
      </c>
      <c r="D237" s="25" t="n">
        <v>0</v>
      </c>
      <c r="E237" s="25" t="n">
        <v>0</v>
      </c>
      <c r="F237" s="25" t="n">
        <v>0</v>
      </c>
      <c r="G237" s="25" t="n">
        <v>0</v>
      </c>
      <c r="H237" s="25" t="n">
        <v>0</v>
      </c>
      <c r="I237" s="25" t="n">
        <v>0</v>
      </c>
      <c r="J237" s="25" t="n">
        <v>0</v>
      </c>
      <c r="K237" s="25" t="n">
        <v>0</v>
      </c>
      <c r="L237" s="25" t="n">
        <v>0</v>
      </c>
      <c r="M237" s="25" t="n">
        <v>0</v>
      </c>
      <c r="N237" s="25" t="n">
        <v>0</v>
      </c>
      <c r="O237" s="25" t="n">
        <v>0</v>
      </c>
      <c r="P237" s="21" t="n">
        <f aca="false">SUM(D237:O237)</f>
        <v>0</v>
      </c>
      <c r="Q237" s="25" t="n">
        <f aca="false">SUM(D237:J237)</f>
        <v>0</v>
      </c>
      <c r="R237" s="21" t="n">
        <f aca="false">P237-Q237</f>
        <v>0</v>
      </c>
      <c r="T237" s="25" t="n">
        <f aca="false">SUM(C237:J237)</f>
        <v>3687</v>
      </c>
      <c r="U237" s="21" t="n">
        <f aca="false">T237</f>
        <v>3687</v>
      </c>
    </row>
    <row r="238" customFormat="false" ht="12.75" hidden="false" customHeight="false" outlineLevel="0" collapsed="false">
      <c r="A238" s="22" t="s">
        <v>154</v>
      </c>
      <c r="B238" s="27"/>
      <c r="C238" s="25" t="n">
        <v>67056</v>
      </c>
      <c r="D238" s="30" t="n">
        <v>2869</v>
      </c>
      <c r="E238" s="30" t="n">
        <v>-6112</v>
      </c>
      <c r="F238" s="30" t="n">
        <v>161</v>
      </c>
      <c r="G238" s="30" t="n">
        <v>-1025</v>
      </c>
      <c r="H238" s="25" t="n">
        <v>-3889</v>
      </c>
      <c r="I238" s="25" t="n">
        <v>-2939</v>
      </c>
      <c r="J238" s="25" t="n">
        <v>-3030</v>
      </c>
      <c r="K238" s="25" t="n">
        <v>-360</v>
      </c>
      <c r="L238" s="25" t="n">
        <v>0</v>
      </c>
      <c r="M238" s="25" t="n">
        <v>0</v>
      </c>
      <c r="N238" s="25" t="n">
        <v>0</v>
      </c>
      <c r="O238" s="25" t="n">
        <v>0</v>
      </c>
      <c r="P238" s="21" t="n">
        <f aca="false">SUM(D238:O238)</f>
        <v>-14325</v>
      </c>
      <c r="Q238" s="25" t="n">
        <f aca="false">SUM(D238:J238)</f>
        <v>-13965</v>
      </c>
      <c r="R238" s="21" t="n">
        <f aca="false">P238-Q238</f>
        <v>-360</v>
      </c>
      <c r="T238" s="25" t="n">
        <f aca="false">SUM(C238:J238)</f>
        <v>53091</v>
      </c>
      <c r="U238" s="21"/>
    </row>
    <row r="239" customFormat="false" ht="12.75" hidden="false" customHeight="false" outlineLevel="0" collapsed="false">
      <c r="A239" s="22" t="s">
        <v>155</v>
      </c>
      <c r="B239" s="27"/>
      <c r="C239" s="25" t="n">
        <v>0</v>
      </c>
      <c r="D239" s="25" t="n">
        <v>0</v>
      </c>
      <c r="E239" s="25" t="n">
        <v>0</v>
      </c>
      <c r="F239" s="25" t="n">
        <v>0</v>
      </c>
      <c r="G239" s="25" t="n">
        <v>0</v>
      </c>
      <c r="H239" s="25" t="n">
        <v>0</v>
      </c>
      <c r="I239" s="25" t="n">
        <v>0</v>
      </c>
      <c r="J239" s="25" t="n">
        <v>0</v>
      </c>
      <c r="K239" s="25" t="n">
        <v>0</v>
      </c>
      <c r="L239" s="25" t="n">
        <v>0</v>
      </c>
      <c r="M239" s="25" t="n">
        <v>0</v>
      </c>
      <c r="N239" s="25" t="n">
        <v>0</v>
      </c>
      <c r="O239" s="25" t="n">
        <v>0</v>
      </c>
      <c r="P239" s="21" t="n">
        <f aca="false">SUM(D239:O239)</f>
        <v>0</v>
      </c>
      <c r="Q239" s="25" t="n">
        <f aca="false">SUM(D239:J239)</f>
        <v>0</v>
      </c>
      <c r="R239" s="21" t="n">
        <f aca="false">P239-Q239</f>
        <v>0</v>
      </c>
      <c r="T239" s="25" t="n">
        <f aca="false">SUM(C239:J239)</f>
        <v>0</v>
      </c>
      <c r="U239" s="21" t="n">
        <f aca="false">SUM(T238:T239)</f>
        <v>53091</v>
      </c>
    </row>
    <row r="240" customFormat="false" ht="12.75" hidden="false" customHeight="false" outlineLevel="0" collapsed="false">
      <c r="A240" s="22" t="s">
        <v>156</v>
      </c>
      <c r="B240" s="27" t="s">
        <v>34</v>
      </c>
      <c r="C240" s="25" t="n">
        <v>6795</v>
      </c>
      <c r="D240" s="21" t="n">
        <f aca="false">[1]Source!D35</f>
        <v>-3</v>
      </c>
      <c r="E240" s="30" t="n">
        <f aca="false">[1]Source!E35+1</f>
        <v>2</v>
      </c>
      <c r="F240" s="21" t="n">
        <f aca="false">[1]Source!F35</f>
        <v>-2</v>
      </c>
      <c r="G240" s="30" t="n">
        <f aca="false">[1]Source!G35-2</f>
        <v>2</v>
      </c>
      <c r="H240" s="30" t="n">
        <f aca="false">[1]Source!H35+1</f>
        <v>20</v>
      </c>
      <c r="I240" s="21" t="n">
        <f aca="false">[1]Source!I35</f>
        <v>108</v>
      </c>
      <c r="J240" s="21" t="n">
        <f aca="false">[1]Source!J35</f>
        <v>42</v>
      </c>
      <c r="K240" s="21" t="n">
        <f aca="false">[1]Source!K35</f>
        <v>45</v>
      </c>
      <c r="L240" s="21" t="n">
        <f aca="false">[1]Source!L35</f>
        <v>16</v>
      </c>
      <c r="M240" s="21" t="n">
        <f aca="false">[1]Source!M35</f>
        <v>19</v>
      </c>
      <c r="N240" s="21" t="n">
        <f aca="false">[1]Source!N35</f>
        <v>3</v>
      </c>
      <c r="O240" s="21" t="n">
        <f aca="false">[1]Source!O35</f>
        <v>9</v>
      </c>
      <c r="P240" s="21" t="n">
        <f aca="false">SUM(D240:O240)</f>
        <v>261</v>
      </c>
      <c r="Q240" s="25" t="n">
        <f aca="false">SUM(D240:J240)</f>
        <v>169</v>
      </c>
      <c r="R240" s="21" t="n">
        <f aca="false">P240-Q240</f>
        <v>92</v>
      </c>
      <c r="T240" s="25" t="n">
        <f aca="false">SUM(C240:J240)</f>
        <v>6964</v>
      </c>
      <c r="U240" s="21" t="n">
        <f aca="false">T240</f>
        <v>6964</v>
      </c>
    </row>
    <row r="241" customFormat="false" ht="12.75" hidden="false" customHeight="false" outlineLevel="0" collapsed="false">
      <c r="A241" s="22" t="s">
        <v>41</v>
      </c>
      <c r="C241" s="25" t="n">
        <v>0</v>
      </c>
      <c r="D241" s="25" t="n">
        <v>0</v>
      </c>
      <c r="E241" s="25" t="n">
        <v>0</v>
      </c>
      <c r="F241" s="25" t="n">
        <v>0</v>
      </c>
      <c r="G241" s="25" t="n">
        <v>0</v>
      </c>
      <c r="H241" s="25" t="n">
        <v>0</v>
      </c>
      <c r="I241" s="25" t="n">
        <v>0</v>
      </c>
      <c r="J241" s="25" t="n">
        <v>0</v>
      </c>
      <c r="K241" s="25" t="n">
        <v>0</v>
      </c>
      <c r="L241" s="25" t="n">
        <v>0</v>
      </c>
      <c r="M241" s="25" t="n">
        <v>0</v>
      </c>
      <c r="N241" s="25" t="n">
        <v>0</v>
      </c>
      <c r="O241" s="25" t="n">
        <v>0</v>
      </c>
      <c r="P241" s="21" t="n">
        <f aca="false">SUM(D241:O241)</f>
        <v>0</v>
      </c>
      <c r="Q241" s="25" t="n">
        <f aca="false">SUM(D241:J241)</f>
        <v>0</v>
      </c>
      <c r="R241" s="21" t="n">
        <f aca="false">P241-Q241</f>
        <v>0</v>
      </c>
      <c r="T241" s="25" t="n">
        <f aca="false">SUM(C241:J241)</f>
        <v>0</v>
      </c>
      <c r="U241" s="21" t="n">
        <f aca="false">T241</f>
        <v>0</v>
      </c>
    </row>
    <row r="242" customFormat="false" ht="12.75" hidden="false" customHeight="false" outlineLevel="0" collapsed="false">
      <c r="A242" s="22" t="s">
        <v>157</v>
      </c>
      <c r="C242" s="25" t="n">
        <v>0</v>
      </c>
      <c r="D242" s="25" t="n">
        <v>0</v>
      </c>
      <c r="E242" s="25" t="n">
        <v>0</v>
      </c>
      <c r="F242" s="25" t="n">
        <v>0</v>
      </c>
      <c r="G242" s="25" t="n">
        <v>0</v>
      </c>
      <c r="H242" s="25" t="n">
        <v>0</v>
      </c>
      <c r="I242" s="25" t="n">
        <v>0</v>
      </c>
      <c r="J242" s="25" t="n">
        <v>0</v>
      </c>
      <c r="K242" s="25" t="n">
        <v>0</v>
      </c>
      <c r="L242" s="25" t="n">
        <v>0</v>
      </c>
      <c r="M242" s="25" t="n">
        <v>0</v>
      </c>
      <c r="N242" s="25" t="n">
        <v>0</v>
      </c>
      <c r="O242" s="25" t="n">
        <v>2000</v>
      </c>
      <c r="P242" s="21" t="n">
        <f aca="false">SUM(D242:O242)</f>
        <v>2000</v>
      </c>
      <c r="Q242" s="25" t="n">
        <f aca="false">SUM(D242:J242)</f>
        <v>0</v>
      </c>
      <c r="R242" s="21" t="n">
        <f aca="false">P242-Q242</f>
        <v>2000</v>
      </c>
      <c r="T242" s="25" t="n">
        <f aca="false">SUM(C242:J242)</f>
        <v>0</v>
      </c>
      <c r="U242" s="21" t="n">
        <f aca="false">T242</f>
        <v>0</v>
      </c>
    </row>
    <row r="243" customFormat="false" ht="12.75" hidden="false" customHeight="false" outlineLevel="0" collapsed="false">
      <c r="A243" s="22" t="s">
        <v>158</v>
      </c>
      <c r="C243" s="25" t="n">
        <v>0</v>
      </c>
      <c r="D243" s="25" t="n">
        <v>0</v>
      </c>
      <c r="E243" s="25" t="n">
        <v>0</v>
      </c>
      <c r="F243" s="25" t="n">
        <v>0</v>
      </c>
      <c r="G243" s="25" t="n">
        <v>0</v>
      </c>
      <c r="H243" s="25" t="n">
        <v>0</v>
      </c>
      <c r="I243" s="25" t="n">
        <v>0</v>
      </c>
      <c r="J243" s="25" t="n">
        <v>0</v>
      </c>
      <c r="K243" s="25" t="n">
        <v>0</v>
      </c>
      <c r="L243" s="25" t="n">
        <v>0</v>
      </c>
      <c r="M243" s="25" t="n">
        <v>0</v>
      </c>
      <c r="N243" s="25" t="n">
        <v>0</v>
      </c>
      <c r="O243" s="26" t="n">
        <f aca="false">2700-2700+10000-2000</f>
        <v>8000</v>
      </c>
      <c r="P243" s="21" t="n">
        <f aca="false">SUM(D243:O243)</f>
        <v>8000</v>
      </c>
      <c r="Q243" s="25" t="n">
        <f aca="false">SUM(D243:J243)</f>
        <v>0</v>
      </c>
      <c r="R243" s="21" t="n">
        <f aca="false">P243-Q243</f>
        <v>8000</v>
      </c>
      <c r="T243" s="25" t="n">
        <f aca="false">SUM(C243:J243)</f>
        <v>0</v>
      </c>
      <c r="U243" s="21" t="n">
        <f aca="false">T243</f>
        <v>0</v>
      </c>
    </row>
    <row r="244" customFormat="false" ht="12.75" hidden="false" customHeight="false" outlineLevel="0" collapsed="false">
      <c r="A244" s="22" t="s">
        <v>159</v>
      </c>
      <c r="C244" s="25" t="n">
        <v>0</v>
      </c>
      <c r="D244" s="25" t="n">
        <v>0</v>
      </c>
      <c r="E244" s="25" t="n">
        <v>0</v>
      </c>
      <c r="F244" s="25" t="n">
        <v>0</v>
      </c>
      <c r="G244" s="25" t="n">
        <v>0</v>
      </c>
      <c r="H244" s="25" t="n">
        <v>0</v>
      </c>
      <c r="I244" s="25" t="n">
        <v>0</v>
      </c>
      <c r="J244" s="25" t="n">
        <v>0</v>
      </c>
      <c r="K244" s="25" t="n">
        <v>0</v>
      </c>
      <c r="L244" s="25" t="n">
        <v>0</v>
      </c>
      <c r="M244" s="25" t="n">
        <v>0</v>
      </c>
      <c r="N244" s="25" t="n">
        <v>0</v>
      </c>
      <c r="O244" s="26" t="n">
        <f aca="false">4858-4858</f>
        <v>0</v>
      </c>
      <c r="P244" s="21" t="n">
        <f aca="false">SUM(D244:O244)</f>
        <v>0</v>
      </c>
      <c r="Q244" s="25" t="n">
        <f aca="false">SUM(D244:J244)</f>
        <v>0</v>
      </c>
      <c r="R244" s="21" t="n">
        <f aca="false">P244-Q244</f>
        <v>0</v>
      </c>
      <c r="T244" s="25" t="n">
        <f aca="false">SUM(C244:J244)</f>
        <v>0</v>
      </c>
      <c r="U244" s="21" t="n">
        <f aca="false">T244</f>
        <v>0</v>
      </c>
    </row>
    <row r="245" customFormat="false" ht="12.75" hidden="false" customHeight="false" outlineLevel="0" collapsed="false">
      <c r="A245" s="22" t="s">
        <v>28</v>
      </c>
      <c r="C245" s="23" t="n">
        <v>0</v>
      </c>
      <c r="D245" s="23" t="n">
        <v>-1</v>
      </c>
      <c r="E245" s="23" t="n">
        <v>1</v>
      </c>
      <c r="F245" s="23" t="n">
        <v>0</v>
      </c>
      <c r="G245" s="23" t="n">
        <v>0</v>
      </c>
      <c r="H245" s="23" t="n">
        <v>0</v>
      </c>
      <c r="I245" s="23" t="n">
        <v>0</v>
      </c>
      <c r="J245" s="23" t="n">
        <v>0</v>
      </c>
      <c r="K245" s="23" t="n">
        <v>0</v>
      </c>
      <c r="L245" s="23" t="n">
        <v>0</v>
      </c>
      <c r="M245" s="23" t="n">
        <v>0</v>
      </c>
      <c r="N245" s="23" t="n">
        <v>0</v>
      </c>
      <c r="O245" s="23" t="n">
        <v>0</v>
      </c>
      <c r="P245" s="24" t="n">
        <f aca="false">SUM(D245:O245)</f>
        <v>0</v>
      </c>
      <c r="Q245" s="23" t="n">
        <f aca="false">SUM(D245:J245)</f>
        <v>0</v>
      </c>
      <c r="R245" s="24" t="n">
        <f aca="false">P245-Q245</f>
        <v>0</v>
      </c>
      <c r="T245" s="23" t="n">
        <f aca="false">SUM(C245:J245)</f>
        <v>0</v>
      </c>
      <c r="U245" s="21" t="n">
        <f aca="false">T245</f>
        <v>0</v>
      </c>
      <c r="W245" s="39"/>
    </row>
    <row r="246" customFormat="false" ht="3.95" hidden="false" customHeight="true" outlineLevel="0" collapsed="false">
      <c r="C246" s="39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5"/>
      <c r="R246" s="21"/>
      <c r="W246" s="39"/>
    </row>
    <row r="247" customFormat="false" ht="12.75" hidden="false" customHeight="false" outlineLevel="0" collapsed="false">
      <c r="A247" s="20" t="s">
        <v>160</v>
      </c>
      <c r="C247" s="21" t="n">
        <f aca="false">SUM(C198:C245)</f>
        <v>205563</v>
      </c>
      <c r="D247" s="21" t="n">
        <f aca="false">SUM(D197:D246)</f>
        <v>208335</v>
      </c>
      <c r="E247" s="21" t="n">
        <f aca="false">SUM(E197:E246)</f>
        <v>204840</v>
      </c>
      <c r="F247" s="21" t="n">
        <f aca="false">SUM(F197:F246)</f>
        <v>204494</v>
      </c>
      <c r="G247" s="21" t="n">
        <f aca="false">SUM(G197:G246)</f>
        <v>202992</v>
      </c>
      <c r="H247" s="21" t="n">
        <f aca="false">SUM(H197:H246)</f>
        <v>198687</v>
      </c>
      <c r="I247" s="21" t="n">
        <f aca="false">SUM(I197:I246)</f>
        <v>195422</v>
      </c>
      <c r="J247" s="21" t="n">
        <f aca="false">SUM(J197:J246)</f>
        <v>192000</v>
      </c>
      <c r="K247" s="21" t="n">
        <f aca="false">SUM(K197:K246)</f>
        <v>191659</v>
      </c>
      <c r="L247" s="21" t="n">
        <f aca="false">SUM(L197:L246)</f>
        <v>191241</v>
      </c>
      <c r="M247" s="21" t="n">
        <f aca="false">SUM(M197:M246)</f>
        <v>190924</v>
      </c>
      <c r="N247" s="21" t="n">
        <f aca="false">SUM(N197:N246)</f>
        <v>190006</v>
      </c>
      <c r="O247" s="21" t="n">
        <f aca="false">SUM(O197:O246)</f>
        <v>199792</v>
      </c>
      <c r="P247" s="21"/>
      <c r="Q247" s="25"/>
    </row>
    <row r="248" customFormat="false" ht="3.95" hidden="false" customHeight="true" outlineLevel="0" collapsed="false">
      <c r="Q248" s="25"/>
    </row>
    <row r="249" customFormat="false" ht="12.75" hidden="false" customHeight="false" outlineLevel="0" collapsed="false">
      <c r="A249" s="22" t="s">
        <v>30</v>
      </c>
      <c r="C249" s="21"/>
      <c r="D249" s="21" t="n">
        <f aca="false">D247-C247</f>
        <v>2772</v>
      </c>
      <c r="E249" s="21" t="n">
        <f aca="false">E247-D247</f>
        <v>-3495</v>
      </c>
      <c r="F249" s="21" t="n">
        <f aca="false">F247-E247</f>
        <v>-346</v>
      </c>
      <c r="G249" s="21" t="n">
        <f aca="false">G247-F247</f>
        <v>-1502</v>
      </c>
      <c r="H249" s="21" t="n">
        <f aca="false">H247-G247</f>
        <v>-4305</v>
      </c>
      <c r="I249" s="21" t="n">
        <f aca="false">I247-H247</f>
        <v>-3265</v>
      </c>
      <c r="J249" s="21" t="n">
        <f aca="false">J247-I247</f>
        <v>-3422</v>
      </c>
      <c r="K249" s="21" t="n">
        <f aca="false">K247-J247</f>
        <v>-341</v>
      </c>
      <c r="L249" s="21" t="n">
        <f aca="false">L247-K247</f>
        <v>-418</v>
      </c>
      <c r="M249" s="21" t="n">
        <f aca="false">M247-L247</f>
        <v>-317</v>
      </c>
      <c r="N249" s="21" t="n">
        <f aca="false">N247-M247</f>
        <v>-918</v>
      </c>
      <c r="O249" s="21" t="n">
        <f aca="false">O247-N247</f>
        <v>9786</v>
      </c>
      <c r="P249" s="21" t="n">
        <f aca="false">SUM(D249:O249)</f>
        <v>-5771</v>
      </c>
      <c r="Q249" s="21" t="n">
        <f aca="false">SUM(Q198:Q245)</f>
        <v>-13563</v>
      </c>
      <c r="R249" s="21" t="n">
        <f aca="false">P249-Q249</f>
        <v>7792</v>
      </c>
    </row>
    <row r="250" customFormat="false" ht="12.75" hidden="false" customHeight="false" outlineLevel="0" collapsed="false">
      <c r="A250" s="0"/>
      <c r="Q250" s="25"/>
    </row>
    <row r="251" customFormat="false" ht="8.1" hidden="false" customHeight="true" outlineLevel="0" collapsed="false">
      <c r="Q251" s="25"/>
    </row>
    <row r="252" customFormat="false" ht="12.75" hidden="false" customHeight="false" outlineLevel="0" collapsed="false">
      <c r="A252" s="20" t="s">
        <v>161</v>
      </c>
      <c r="C252" s="21"/>
      <c r="D252" s="21" t="n">
        <f aca="false">C268</f>
        <v>9150</v>
      </c>
      <c r="E252" s="21" t="n">
        <f aca="false">D268</f>
        <v>8391</v>
      </c>
      <c r="F252" s="21" t="n">
        <f aca="false">E268</f>
        <v>10015</v>
      </c>
      <c r="G252" s="21" t="n">
        <f aca="false">F268</f>
        <v>9127</v>
      </c>
      <c r="H252" s="21" t="n">
        <f aca="false">G268</f>
        <v>9335</v>
      </c>
      <c r="I252" s="21" t="n">
        <f aca="false">H268</f>
        <v>9572</v>
      </c>
      <c r="J252" s="21" t="n">
        <f aca="false">I268</f>
        <v>10257</v>
      </c>
      <c r="K252" s="21" t="n">
        <f aca="false">J268</f>
        <v>10958</v>
      </c>
      <c r="L252" s="21" t="n">
        <f aca="false">K268</f>
        <v>10960</v>
      </c>
      <c r="M252" s="21" t="n">
        <f aca="false">L268</f>
        <v>10959</v>
      </c>
      <c r="N252" s="21" t="n">
        <f aca="false">M268</f>
        <v>10960</v>
      </c>
      <c r="O252" s="21" t="n">
        <f aca="false">N268</f>
        <v>10889</v>
      </c>
      <c r="P252" s="21"/>
      <c r="Q252" s="25"/>
    </row>
    <row r="253" customFormat="false" ht="12.75" hidden="false" customHeight="false" outlineLevel="0" collapsed="false">
      <c r="A253" s="22" t="s">
        <v>162</v>
      </c>
      <c r="B253" s="27" t="s">
        <v>34</v>
      </c>
      <c r="C253" s="25" t="n">
        <v>2238</v>
      </c>
      <c r="D253" s="21" t="n">
        <f aca="false">[1]Source!D47</f>
        <v>-39</v>
      </c>
      <c r="E253" s="21" t="n">
        <f aca="false">[1]Source!E47</f>
        <v>-38</v>
      </c>
      <c r="F253" s="21" t="n">
        <f aca="false">[1]Source!F47</f>
        <v>-39</v>
      </c>
      <c r="G253" s="21" t="n">
        <f aca="false">[1]Source!G47</f>
        <v>-38</v>
      </c>
      <c r="H253" s="21" t="n">
        <f aca="false">[1]Source!H47</f>
        <v>-39</v>
      </c>
      <c r="I253" s="21" t="n">
        <f aca="false">[1]Source!I47</f>
        <v>-38</v>
      </c>
      <c r="J253" s="21" t="n">
        <f aca="false">[1]Source!J47</f>
        <v>-39</v>
      </c>
      <c r="K253" s="21" t="n">
        <f aca="false">[1]Source!K47</f>
        <v>-38</v>
      </c>
      <c r="L253" s="21" t="n">
        <f aca="false">[1]Source!L47</f>
        <v>-39</v>
      </c>
      <c r="M253" s="21" t="n">
        <f aca="false">[1]Source!M47</f>
        <v>-38</v>
      </c>
      <c r="N253" s="21" t="n">
        <f aca="false">[1]Source!N47</f>
        <v>-39</v>
      </c>
      <c r="O253" s="21" t="n">
        <f aca="false">[1]Source!O47</f>
        <v>-39</v>
      </c>
      <c r="P253" s="21" t="n">
        <f aca="false">SUM(D253:O253)</f>
        <v>-463</v>
      </c>
      <c r="Q253" s="25" t="n">
        <f aca="false">SUM(D253:J253)</f>
        <v>-270</v>
      </c>
      <c r="R253" s="21" t="n">
        <f aca="false">P253-Q253</f>
        <v>-193</v>
      </c>
    </row>
    <row r="254" customFormat="false" ht="12.75" hidden="false" customHeight="false" outlineLevel="0" collapsed="false">
      <c r="A254" s="22" t="s">
        <v>163</v>
      </c>
      <c r="C254" s="25" t="n">
        <v>4208</v>
      </c>
      <c r="D254" s="35" t="n">
        <f aca="false">-46-638</f>
        <v>-684</v>
      </c>
      <c r="E254" s="35" t="n">
        <v>1693</v>
      </c>
      <c r="F254" s="35" t="n">
        <v>-817</v>
      </c>
      <c r="G254" s="35" t="n">
        <v>277</v>
      </c>
      <c r="H254" s="35" t="n">
        <v>308</v>
      </c>
      <c r="I254" s="25" t="n">
        <v>754</v>
      </c>
      <c r="J254" s="25" t="n">
        <v>771</v>
      </c>
      <c r="K254" s="25" t="n">
        <v>70</v>
      </c>
      <c r="L254" s="25" t="n">
        <v>70</v>
      </c>
      <c r="M254" s="25" t="n">
        <v>70</v>
      </c>
      <c r="N254" s="25" t="n">
        <v>0</v>
      </c>
      <c r="O254" s="35" t="n">
        <v>-700</v>
      </c>
      <c r="P254" s="21" t="n">
        <f aca="false">SUM(D254:O254)</f>
        <v>1812</v>
      </c>
      <c r="Q254" s="25" t="n">
        <f aca="false">SUM(D254:J254)</f>
        <v>2302</v>
      </c>
      <c r="R254" s="21" t="n">
        <f aca="false">P254-Q254</f>
        <v>-490</v>
      </c>
    </row>
    <row r="255" customFormat="false" ht="12.75" hidden="false" customHeight="false" outlineLevel="0" collapsed="false">
      <c r="A255" s="22" t="s">
        <v>164</v>
      </c>
      <c r="C255" s="25" t="n">
        <v>0</v>
      </c>
      <c r="D255" s="25" t="n">
        <v>0</v>
      </c>
      <c r="E255" s="25" t="n">
        <v>0</v>
      </c>
      <c r="F255" s="25" t="n">
        <v>0</v>
      </c>
      <c r="G255" s="25" t="n">
        <v>0</v>
      </c>
      <c r="H255" s="25" t="n">
        <v>0</v>
      </c>
      <c r="I255" s="25" t="n">
        <v>0</v>
      </c>
      <c r="J255" s="25" t="n">
        <v>0</v>
      </c>
      <c r="K255" s="25" t="n">
        <v>0</v>
      </c>
      <c r="L255" s="25" t="n">
        <v>0</v>
      </c>
      <c r="M255" s="25" t="n">
        <v>0</v>
      </c>
      <c r="N255" s="25" t="n">
        <v>0</v>
      </c>
      <c r="O255" s="25" t="n">
        <v>0</v>
      </c>
      <c r="P255" s="21" t="n">
        <f aca="false">SUM(D255:O255)</f>
        <v>0</v>
      </c>
      <c r="Q255" s="25" t="n">
        <f aca="false">SUM(D255:J255)</f>
        <v>0</v>
      </c>
      <c r="R255" s="21" t="n">
        <f aca="false">P255-Q255</f>
        <v>0</v>
      </c>
    </row>
    <row r="256" customFormat="false" ht="12.75" hidden="false" customHeight="false" outlineLevel="0" collapsed="false">
      <c r="A256" s="22" t="s">
        <v>165</v>
      </c>
      <c r="C256" s="25" t="n">
        <v>0</v>
      </c>
      <c r="D256" s="25" t="n">
        <v>0</v>
      </c>
      <c r="E256" s="25" t="n">
        <v>0</v>
      </c>
      <c r="F256" s="25" t="n">
        <v>0</v>
      </c>
      <c r="G256" s="25" t="n">
        <v>0</v>
      </c>
      <c r="H256" s="25" t="n">
        <v>0</v>
      </c>
      <c r="I256" s="25" t="n">
        <v>0</v>
      </c>
      <c r="J256" s="25" t="n">
        <v>0</v>
      </c>
      <c r="K256" s="25" t="n">
        <v>0</v>
      </c>
      <c r="L256" s="25" t="n">
        <v>0</v>
      </c>
      <c r="M256" s="25" t="n">
        <v>0</v>
      </c>
      <c r="N256" s="25" t="n">
        <v>0</v>
      </c>
      <c r="O256" s="25" t="n">
        <v>0</v>
      </c>
      <c r="P256" s="21" t="n">
        <f aca="false">SUM(D256:O256)</f>
        <v>0</v>
      </c>
      <c r="Q256" s="25" t="n">
        <f aca="false">SUM(D256:J256)</f>
        <v>0</v>
      </c>
      <c r="R256" s="21" t="n">
        <f aca="false">P256-Q256</f>
        <v>0</v>
      </c>
    </row>
    <row r="257" customFormat="false" ht="12.75" hidden="false" customHeight="false" outlineLevel="0" collapsed="false">
      <c r="A257" s="22" t="s">
        <v>166</v>
      </c>
      <c r="C257" s="25" t="n">
        <v>1350</v>
      </c>
      <c r="D257" s="25" t="n">
        <v>-14</v>
      </c>
      <c r="E257" s="25" t="n">
        <v>-13</v>
      </c>
      <c r="F257" s="25" t="n">
        <v>-14</v>
      </c>
      <c r="G257" s="25" t="n">
        <v>-14</v>
      </c>
      <c r="H257" s="25" t="n">
        <v>-14</v>
      </c>
      <c r="I257" s="25" t="n">
        <v>-13</v>
      </c>
      <c r="J257" s="25" t="n">
        <v>-13</v>
      </c>
      <c r="K257" s="25" t="n">
        <v>-13</v>
      </c>
      <c r="L257" s="25" t="n">
        <v>-14</v>
      </c>
      <c r="M257" s="25" t="n">
        <v>-13</v>
      </c>
      <c r="N257" s="25" t="n">
        <v>-14</v>
      </c>
      <c r="O257" s="25" t="n">
        <v>-13</v>
      </c>
      <c r="P257" s="21" t="n">
        <f aca="false">SUM(D257:O257)</f>
        <v>-162</v>
      </c>
      <c r="Q257" s="25" t="n">
        <f aca="false">SUM(D257:J257)</f>
        <v>-95</v>
      </c>
      <c r="R257" s="21" t="n">
        <f aca="false">P257-Q257</f>
        <v>-67</v>
      </c>
    </row>
    <row r="258" customFormat="false" ht="12.75" hidden="false" customHeight="false" outlineLevel="0" collapsed="false">
      <c r="A258" s="22" t="s">
        <v>167</v>
      </c>
      <c r="C258" s="25" t="n">
        <v>352</v>
      </c>
      <c r="D258" s="25" t="n">
        <v>-7</v>
      </c>
      <c r="E258" s="25" t="n">
        <v>-7</v>
      </c>
      <c r="F258" s="25" t="n">
        <v>-7</v>
      </c>
      <c r="G258" s="25" t="n">
        <v>-6</v>
      </c>
      <c r="H258" s="25" t="n">
        <v>-7</v>
      </c>
      <c r="I258" s="25" t="n">
        <v>-7</v>
      </c>
      <c r="J258" s="25" t="n">
        <v>-7</v>
      </c>
      <c r="K258" s="25" t="n">
        <v>-6</v>
      </c>
      <c r="L258" s="25" t="n">
        <v>-7</v>
      </c>
      <c r="M258" s="25" t="n">
        <v>-7</v>
      </c>
      <c r="N258" s="25" t="n">
        <v>-7</v>
      </c>
      <c r="O258" s="25" t="n">
        <v>-6</v>
      </c>
      <c r="P258" s="21" t="n">
        <f aca="false">SUM(D258:O258)</f>
        <v>-81</v>
      </c>
      <c r="Q258" s="25" t="n">
        <f aca="false">SUM(D258:J258)</f>
        <v>-48</v>
      </c>
      <c r="R258" s="21" t="n">
        <f aca="false">P258-Q258</f>
        <v>-33</v>
      </c>
    </row>
    <row r="259" customFormat="false" ht="12.75" hidden="false" customHeight="false" outlineLevel="0" collapsed="false">
      <c r="A259" s="22" t="s">
        <v>168</v>
      </c>
      <c r="C259" s="25" t="n">
        <v>998</v>
      </c>
      <c r="D259" s="25" t="n">
        <v>-11</v>
      </c>
      <c r="E259" s="25" t="n">
        <v>-11</v>
      </c>
      <c r="F259" s="25" t="n">
        <v>-11</v>
      </c>
      <c r="G259" s="25" t="n">
        <v>-11</v>
      </c>
      <c r="H259" s="25" t="n">
        <v>-11</v>
      </c>
      <c r="I259" s="25" t="n">
        <v>-11</v>
      </c>
      <c r="J259" s="25" t="n">
        <v>-11</v>
      </c>
      <c r="K259" s="25" t="n">
        <v>-11</v>
      </c>
      <c r="L259" s="25" t="n">
        <v>-11</v>
      </c>
      <c r="M259" s="25" t="n">
        <v>-11</v>
      </c>
      <c r="N259" s="25" t="n">
        <v>-11</v>
      </c>
      <c r="O259" s="25" t="n">
        <v>-10</v>
      </c>
      <c r="P259" s="21" t="n">
        <f aca="false">SUM(D259:O259)</f>
        <v>-131</v>
      </c>
      <c r="Q259" s="25" t="n">
        <f aca="false">SUM(D259:J259)</f>
        <v>-77</v>
      </c>
      <c r="R259" s="21" t="n">
        <f aca="false">P259-Q259</f>
        <v>-54</v>
      </c>
    </row>
    <row r="260" customFormat="false" ht="12.75" hidden="false" customHeight="false" outlineLevel="0" collapsed="false">
      <c r="A260" s="22" t="s">
        <v>41</v>
      </c>
      <c r="C260" s="25" t="n">
        <v>0</v>
      </c>
      <c r="D260" s="25" t="n">
        <v>0</v>
      </c>
      <c r="E260" s="25" t="n">
        <v>0</v>
      </c>
      <c r="F260" s="25" t="n">
        <v>0</v>
      </c>
      <c r="G260" s="25" t="n">
        <v>0</v>
      </c>
      <c r="H260" s="25" t="n">
        <v>0</v>
      </c>
      <c r="I260" s="25" t="n">
        <v>0</v>
      </c>
      <c r="J260" s="25" t="n">
        <v>0</v>
      </c>
      <c r="K260" s="25" t="n">
        <v>0</v>
      </c>
      <c r="L260" s="25" t="n">
        <v>0</v>
      </c>
      <c r="M260" s="25" t="n">
        <v>0</v>
      </c>
      <c r="N260" s="25" t="n">
        <v>0</v>
      </c>
      <c r="O260" s="25" t="n">
        <v>0</v>
      </c>
      <c r="P260" s="21" t="n">
        <f aca="false">SUM(D260:O260)</f>
        <v>0</v>
      </c>
      <c r="Q260" s="25" t="n">
        <f aca="false">SUM(D260:J260)</f>
        <v>0</v>
      </c>
      <c r="R260" s="21" t="n">
        <f aca="false">P260-Q260</f>
        <v>0</v>
      </c>
    </row>
    <row r="261" customFormat="false" ht="12.75" hidden="false" customHeight="false" outlineLevel="0" collapsed="false">
      <c r="A261" s="22" t="s">
        <v>41</v>
      </c>
      <c r="B261" s="27"/>
      <c r="C261" s="25" t="n">
        <v>0</v>
      </c>
      <c r="D261" s="25" t="n">
        <v>0</v>
      </c>
      <c r="E261" s="25" t="n">
        <v>0</v>
      </c>
      <c r="F261" s="25" t="n">
        <v>0</v>
      </c>
      <c r="G261" s="25" t="n">
        <v>0</v>
      </c>
      <c r="H261" s="25" t="n">
        <v>0</v>
      </c>
      <c r="I261" s="25" t="n">
        <v>0</v>
      </c>
      <c r="J261" s="25" t="n">
        <v>0</v>
      </c>
      <c r="K261" s="25" t="n">
        <v>0</v>
      </c>
      <c r="L261" s="25" t="n">
        <v>0</v>
      </c>
      <c r="M261" s="25" t="n">
        <v>0</v>
      </c>
      <c r="N261" s="25" t="n">
        <v>0</v>
      </c>
      <c r="O261" s="25" t="n">
        <v>0</v>
      </c>
      <c r="P261" s="21" t="n">
        <f aca="false">SUM(D261:O261)</f>
        <v>0</v>
      </c>
      <c r="Q261" s="25" t="n">
        <f aca="false">SUM(D261:J261)</f>
        <v>0</v>
      </c>
      <c r="R261" s="21" t="n">
        <f aca="false">P261-Q261</f>
        <v>0</v>
      </c>
    </row>
    <row r="262" customFormat="false" ht="12.75" hidden="false" customHeight="false" outlineLevel="0" collapsed="false">
      <c r="A262" s="22" t="s">
        <v>93</v>
      </c>
      <c r="C262" s="25" t="n">
        <v>4</v>
      </c>
      <c r="D262" s="25" t="n">
        <v>-4</v>
      </c>
      <c r="E262" s="25" t="n">
        <v>0</v>
      </c>
      <c r="F262" s="25" t="n">
        <v>0</v>
      </c>
      <c r="G262" s="25" t="n">
        <v>0</v>
      </c>
      <c r="H262" s="25" t="n">
        <v>0</v>
      </c>
      <c r="I262" s="25" t="n">
        <v>0</v>
      </c>
      <c r="J262" s="25" t="n">
        <v>0</v>
      </c>
      <c r="K262" s="25" t="n">
        <v>0</v>
      </c>
      <c r="L262" s="25" t="n">
        <v>0</v>
      </c>
      <c r="M262" s="25" t="n">
        <v>0</v>
      </c>
      <c r="N262" s="25" t="n">
        <v>0</v>
      </c>
      <c r="O262" s="25" t="n">
        <v>0</v>
      </c>
      <c r="P262" s="21" t="n">
        <f aca="false">SUM(D262:O262)</f>
        <v>-4</v>
      </c>
      <c r="Q262" s="25" t="n">
        <f aca="false">SUM(D262:J262)</f>
        <v>-4</v>
      </c>
      <c r="R262" s="21" t="n">
        <f aca="false">P262-Q262</f>
        <v>0</v>
      </c>
    </row>
    <row r="263" customFormat="false" ht="12.75" hidden="false" customHeight="false" outlineLevel="0" collapsed="false">
      <c r="A263" s="22" t="s">
        <v>169</v>
      </c>
      <c r="C263" s="25" t="n">
        <v>0</v>
      </c>
      <c r="D263" s="25" t="n">
        <v>0</v>
      </c>
      <c r="E263" s="25" t="n">
        <v>0</v>
      </c>
      <c r="F263" s="25" t="n">
        <v>0</v>
      </c>
      <c r="G263" s="25" t="n">
        <v>0</v>
      </c>
      <c r="H263" s="25" t="n">
        <v>0</v>
      </c>
      <c r="I263" s="25" t="n">
        <v>0</v>
      </c>
      <c r="J263" s="26" t="n">
        <v>0</v>
      </c>
      <c r="K263" s="26" t="n">
        <v>0</v>
      </c>
      <c r="L263" s="26" t="n">
        <f aca="false">1250-1045-205</f>
        <v>0</v>
      </c>
      <c r="M263" s="26" t="n">
        <v>0</v>
      </c>
      <c r="N263" s="26" t="n">
        <v>0</v>
      </c>
      <c r="O263" s="26" t="n">
        <f aca="false">1250+22-1272</f>
        <v>0</v>
      </c>
      <c r="P263" s="21" t="n">
        <f aca="false">SUM(D263:O263)</f>
        <v>0</v>
      </c>
      <c r="Q263" s="25" t="n">
        <f aca="false">SUM(D263:J263)</f>
        <v>0</v>
      </c>
      <c r="R263" s="21" t="n">
        <f aca="false">P263-Q263</f>
        <v>0</v>
      </c>
    </row>
    <row r="264" customFormat="false" ht="12.75" hidden="false" customHeight="false" outlineLevel="0" collapsed="false">
      <c r="A264" s="22" t="s">
        <v>170</v>
      </c>
      <c r="C264" s="25" t="n">
        <v>0</v>
      </c>
      <c r="D264" s="25" t="n">
        <v>0</v>
      </c>
      <c r="E264" s="25" t="n">
        <v>0</v>
      </c>
      <c r="F264" s="25" t="n">
        <v>0</v>
      </c>
      <c r="G264" s="25" t="n">
        <v>0</v>
      </c>
      <c r="H264" s="25" t="n">
        <v>0</v>
      </c>
      <c r="I264" s="25" t="n">
        <v>0</v>
      </c>
      <c r="J264" s="26" t="n">
        <f aca="false">342-168-174</f>
        <v>0</v>
      </c>
      <c r="K264" s="26" t="n">
        <f aca="false">342-168-174</f>
        <v>0</v>
      </c>
      <c r="L264" s="26" t="n">
        <f aca="false">342+133-375-100</f>
        <v>0</v>
      </c>
      <c r="M264" s="26" t="n">
        <f aca="false">342-169-173</f>
        <v>0</v>
      </c>
      <c r="N264" s="26" t="n">
        <f aca="false">342-167-175</f>
        <v>0</v>
      </c>
      <c r="O264" s="26" t="n">
        <f aca="false">362+713-975-100</f>
        <v>0</v>
      </c>
      <c r="P264" s="21" t="n">
        <f aca="false">SUM(D264:O264)</f>
        <v>0</v>
      </c>
      <c r="Q264" s="25" t="n">
        <f aca="false">SUM(D264:J264)</f>
        <v>0</v>
      </c>
      <c r="R264" s="21" t="n">
        <f aca="false">P264-Q264</f>
        <v>0</v>
      </c>
    </row>
    <row r="265" customFormat="false" ht="12.75" hidden="false" customHeight="false" outlineLevel="0" collapsed="false">
      <c r="A265" s="22" t="s">
        <v>171</v>
      </c>
      <c r="C265" s="25" t="n">
        <v>0</v>
      </c>
      <c r="D265" s="25" t="n">
        <v>0</v>
      </c>
      <c r="E265" s="25" t="n">
        <v>0</v>
      </c>
      <c r="F265" s="25" t="n">
        <v>0</v>
      </c>
      <c r="G265" s="25" t="n">
        <v>0</v>
      </c>
      <c r="H265" s="25" t="n">
        <v>0</v>
      </c>
      <c r="I265" s="25" t="n">
        <v>0</v>
      </c>
      <c r="J265" s="25" t="n">
        <v>0</v>
      </c>
      <c r="K265" s="25" t="n">
        <v>0</v>
      </c>
      <c r="L265" s="25" t="n">
        <v>0</v>
      </c>
      <c r="M265" s="25" t="n">
        <v>0</v>
      </c>
      <c r="N265" s="25" t="n">
        <v>0</v>
      </c>
      <c r="O265" s="25" t="n">
        <v>0</v>
      </c>
      <c r="P265" s="21" t="n">
        <f aca="false">SUM(D265:O265)</f>
        <v>0</v>
      </c>
      <c r="Q265" s="25" t="n">
        <f aca="false">SUM(D265:J265)</f>
        <v>0</v>
      </c>
      <c r="R265" s="21" t="n">
        <f aca="false">P265-Q265</f>
        <v>0</v>
      </c>
    </row>
    <row r="266" customFormat="false" ht="12.75" hidden="false" customHeight="false" outlineLevel="0" collapsed="false">
      <c r="A266" s="22" t="s">
        <v>28</v>
      </c>
      <c r="C266" s="23" t="n">
        <v>0</v>
      </c>
      <c r="D266" s="23" t="n">
        <v>0</v>
      </c>
      <c r="E266" s="23" t="n">
        <v>0</v>
      </c>
      <c r="F266" s="23" t="n">
        <v>0</v>
      </c>
      <c r="G266" s="23" t="n">
        <v>0</v>
      </c>
      <c r="H266" s="23" t="n">
        <v>0</v>
      </c>
      <c r="I266" s="23" t="n">
        <v>0</v>
      </c>
      <c r="J266" s="23" t="n">
        <v>0</v>
      </c>
      <c r="K266" s="23" t="n">
        <v>0</v>
      </c>
      <c r="L266" s="23" t="n">
        <v>0</v>
      </c>
      <c r="M266" s="23" t="n">
        <v>0</v>
      </c>
      <c r="N266" s="23" t="n">
        <v>0</v>
      </c>
      <c r="O266" s="23" t="n">
        <v>0</v>
      </c>
      <c r="P266" s="24" t="n">
        <f aca="false">SUM(D266:O266)</f>
        <v>0</v>
      </c>
      <c r="Q266" s="23" t="n">
        <f aca="false">SUM(D266:J266)</f>
        <v>0</v>
      </c>
      <c r="R266" s="24" t="n">
        <f aca="false">P266-Q266</f>
        <v>0</v>
      </c>
    </row>
    <row r="267" customFormat="false" ht="3.95" hidden="false" customHeight="true" outlineLevel="0" collapsed="false"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customFormat="false" ht="12.75" hidden="false" customHeight="false" outlineLevel="0" collapsed="false">
      <c r="A268" s="20" t="s">
        <v>172</v>
      </c>
      <c r="C268" s="21" t="n">
        <f aca="false">SUM(C253:C267)</f>
        <v>9150</v>
      </c>
      <c r="D268" s="21" t="n">
        <f aca="false">SUM(D252:D267)</f>
        <v>8391</v>
      </c>
      <c r="E268" s="21" t="n">
        <f aca="false">SUM(E252:E267)</f>
        <v>10015</v>
      </c>
      <c r="F268" s="21" t="n">
        <f aca="false">SUM(F252:F267)</f>
        <v>9127</v>
      </c>
      <c r="G268" s="21" t="n">
        <f aca="false">SUM(G252:G267)</f>
        <v>9335</v>
      </c>
      <c r="H268" s="21" t="n">
        <f aca="false">SUM(H252:H267)</f>
        <v>9572</v>
      </c>
      <c r="I268" s="21" t="n">
        <f aca="false">SUM(I252:I267)</f>
        <v>10257</v>
      </c>
      <c r="J268" s="21" t="n">
        <f aca="false">SUM(J252:J267)</f>
        <v>10958</v>
      </c>
      <c r="K268" s="21" t="n">
        <f aca="false">SUM(K252:K267)</f>
        <v>10960</v>
      </c>
      <c r="L268" s="21" t="n">
        <f aca="false">SUM(L252:L267)</f>
        <v>10959</v>
      </c>
      <c r="M268" s="21" t="n">
        <f aca="false">SUM(M252:M267)</f>
        <v>10960</v>
      </c>
      <c r="N268" s="21" t="n">
        <f aca="false">SUM(N252:N267)</f>
        <v>10889</v>
      </c>
      <c r="O268" s="21" t="n">
        <f aca="false">SUM(O252:O267)</f>
        <v>10121</v>
      </c>
      <c r="P268" s="21"/>
    </row>
    <row r="269" customFormat="false" ht="3.95" hidden="false" customHeight="true" outlineLevel="0" collapsed="false"/>
    <row r="270" customFormat="false" ht="12.75" hidden="false" customHeight="false" outlineLevel="0" collapsed="false">
      <c r="A270" s="22" t="s">
        <v>30</v>
      </c>
      <c r="C270" s="21"/>
      <c r="D270" s="21" t="n">
        <f aca="false">D268-C268</f>
        <v>-759</v>
      </c>
      <c r="E270" s="21" t="n">
        <f aca="false">E268-D268</f>
        <v>1624</v>
      </c>
      <c r="F270" s="21" t="n">
        <f aca="false">F268-E268</f>
        <v>-888</v>
      </c>
      <c r="G270" s="21" t="n">
        <f aca="false">G268-F268</f>
        <v>208</v>
      </c>
      <c r="H270" s="21" t="n">
        <f aca="false">H268-G268</f>
        <v>237</v>
      </c>
      <c r="I270" s="21" t="n">
        <f aca="false">I268-H268</f>
        <v>685</v>
      </c>
      <c r="J270" s="21" t="n">
        <f aca="false">J268-I268</f>
        <v>701</v>
      </c>
      <c r="K270" s="21" t="n">
        <f aca="false">K268-J268</f>
        <v>2</v>
      </c>
      <c r="L270" s="21" t="n">
        <f aca="false">L268-K268</f>
        <v>-1</v>
      </c>
      <c r="M270" s="21" t="n">
        <f aca="false">M268-L268</f>
        <v>1</v>
      </c>
      <c r="N270" s="21" t="n">
        <f aca="false">N268-M268</f>
        <v>-71</v>
      </c>
      <c r="O270" s="21" t="n">
        <f aca="false">O268-N268</f>
        <v>-768</v>
      </c>
      <c r="P270" s="21" t="n">
        <f aca="false">SUM(D270:O270)</f>
        <v>971</v>
      </c>
      <c r="Q270" s="21" t="n">
        <f aca="false">SUM(Q253:Q267)</f>
        <v>1808</v>
      </c>
      <c r="R270" s="21" t="n">
        <f aca="false">P270-Q270</f>
        <v>-837</v>
      </c>
    </row>
    <row r="271" customFormat="false" ht="6" hidden="false" customHeight="true" outlineLevel="0" collapsed="false"/>
    <row r="272" customFormat="false" ht="12.75" hidden="false" customHeight="false" outlineLevel="0" collapsed="false">
      <c r="A272" s="20" t="s">
        <v>173</v>
      </c>
      <c r="C272" s="42" t="n">
        <f aca="false">C13+C33+C41+C49+C56+C63+C72+C97+C111+C123+C132+C144+C161-C176+C184+C192+C247+C268-C473-C308</f>
        <v>2056033</v>
      </c>
      <c r="D272" s="42" t="n">
        <f aca="false">D13+D33+D41+D49+D56+D63+D72+D97+D111+D123+D132+D144+D161-D176+D184+D192+D247+D268-D473-D308</f>
        <v>2144174</v>
      </c>
      <c r="E272" s="42" t="n">
        <f aca="false">E13+E33+E41+E49+E56+E63+E72+E97+E111+E123+E132+E144+E161-E176+E184+E192+E247+E268-E473-E308</f>
        <v>2117619</v>
      </c>
      <c r="F272" s="42" t="n">
        <f aca="false">F13+F33+F41+F49+F56+F63+F72+F97+F111+F123+F132+F144+F161-F176+F184+F192+F247+F268-F473-F308</f>
        <v>2119251</v>
      </c>
      <c r="G272" s="42" t="n">
        <f aca="false">G13+G33+G41+G49+G56+G63+G72+G97+G111+G123+G132+G144+G161-G176+G184+G192+G247+G268-G473-G308</f>
        <v>2139763</v>
      </c>
      <c r="H272" s="42" t="n">
        <f aca="false">H13+H33+H41+H49+H56+H63+H72+H97+H111+H123+H132+H144+H161-H176+H184+H192+H247+H268-H473-H308</f>
        <v>2113806</v>
      </c>
      <c r="I272" s="42" t="n">
        <f aca="false">I13+I33+I41+I49+I56+I63+I72+I97+I111+I123+I132+I144+I161-I176+I184+I192+I247+I268-I473-I308</f>
        <v>2098426</v>
      </c>
      <c r="J272" s="42" t="n">
        <f aca="false">J13+J33+J41+J49+J56+J63+J72+J97+J111+J123+J132+J144+J161-J176+J184+J192+J247+J268-J473-J308</f>
        <v>2085765</v>
      </c>
      <c r="K272" s="42" t="n">
        <f aca="false">K13+K33+K41+K49+K56+K63+K72+K97+K111+K123+K132+K144+K161-K176+K184+K192+K247+K268-K473-K308</f>
        <v>2099792</v>
      </c>
      <c r="L272" s="42" t="n">
        <f aca="false">L13+L33+L41+L49+L56+L63+L72+L97+L111+L123+L132+L144+L161-L176+L184+L192+L247+L268-L473-L308</f>
        <v>2101658</v>
      </c>
      <c r="M272" s="42" t="n">
        <f aca="false">M13+M33+M41+M49+M56+M63+M72+M97+M111+M123+M132+M144+M161-M176+M184+M192+M247+M268-M473-M308</f>
        <v>2088443</v>
      </c>
      <c r="N272" s="42" t="n">
        <f aca="false">N13+N33+N41+N49+N56+N63+N72+N97+N111+N123+N132+N144+N161-N176+N184+N192+N247+N268-N473-N308</f>
        <v>2099313</v>
      </c>
      <c r="O272" s="42" t="n">
        <f aca="false">O13+O33+O41+O49+O56+O63+O72+O97+O111+O123+O132+O144+O161-O176+O184+O192+O247+O268-O473-O308</f>
        <v>2096348</v>
      </c>
    </row>
    <row r="273" customFormat="false" ht="6" hidden="false" customHeight="true" outlineLevel="0" collapsed="false"/>
    <row r="274" customFormat="false" ht="12.75" hidden="false" customHeight="false" outlineLevel="0" collapsed="false">
      <c r="A274" s="22" t="s">
        <v>174</v>
      </c>
      <c r="D274" s="21" t="n">
        <f aca="false">D272-C272</f>
        <v>88141</v>
      </c>
      <c r="E274" s="21" t="n">
        <f aca="false">E272-D272</f>
        <v>-26555</v>
      </c>
      <c r="F274" s="21" t="n">
        <f aca="false">F272-E272</f>
        <v>1632</v>
      </c>
      <c r="G274" s="21" t="n">
        <f aca="false">G272-F272</f>
        <v>20512</v>
      </c>
      <c r="H274" s="21" t="n">
        <f aca="false">H272-G272</f>
        <v>-25957</v>
      </c>
      <c r="I274" s="21" t="n">
        <f aca="false">I272-H272</f>
        <v>-15380</v>
      </c>
      <c r="J274" s="21" t="n">
        <f aca="false">J272-I272</f>
        <v>-12661</v>
      </c>
      <c r="K274" s="21" t="n">
        <f aca="false">K272-J272</f>
        <v>14027</v>
      </c>
      <c r="L274" s="21" t="n">
        <f aca="false">L272-K272</f>
        <v>1866</v>
      </c>
      <c r="M274" s="21" t="n">
        <f aca="false">M272-L272</f>
        <v>-13215</v>
      </c>
      <c r="N274" s="21" t="n">
        <f aca="false">N272-M272</f>
        <v>10870</v>
      </c>
      <c r="O274" s="21" t="n">
        <f aca="false">O272-N272</f>
        <v>-2965</v>
      </c>
      <c r="P274" s="21" t="n">
        <f aca="false">SUM(D274:O274)</f>
        <v>40315</v>
      </c>
      <c r="Q274" s="25" t="n">
        <f aca="false">SUM(D274:J274)</f>
        <v>29732</v>
      </c>
      <c r="R274" s="21" t="n">
        <f aca="false">P274-Q274</f>
        <v>10583</v>
      </c>
    </row>
    <row r="276" customFormat="false" ht="8.1" hidden="false" customHeight="true" outlineLevel="0" collapsed="false"/>
    <row r="279" customFormat="false" ht="12.75" hidden="false" customHeight="false" outlineLevel="0" collapsed="false">
      <c r="A279" s="20" t="s">
        <v>175</v>
      </c>
      <c r="C279" s="26" t="n">
        <f aca="false">22204-11728</f>
        <v>10476</v>
      </c>
      <c r="D279" s="21" t="n">
        <f aca="false">C299</f>
        <v>31722</v>
      </c>
      <c r="E279" s="21" t="n">
        <f aca="false">D299</f>
        <v>52229</v>
      </c>
      <c r="F279" s="21" t="n">
        <f aca="false">E299</f>
        <v>12858</v>
      </c>
      <c r="G279" s="21" t="n">
        <f aca="false">F299</f>
        <v>24601</v>
      </c>
      <c r="H279" s="21" t="n">
        <f aca="false">G299</f>
        <v>10969</v>
      </c>
      <c r="I279" s="21" t="n">
        <f aca="false">H299</f>
        <v>10668</v>
      </c>
      <c r="J279" s="21" t="n">
        <f aca="false">I299</f>
        <v>12070</v>
      </c>
      <c r="K279" s="21" t="n">
        <f aca="false">J299</f>
        <v>13366</v>
      </c>
      <c r="L279" s="21" t="n">
        <f aca="false">K299</f>
        <v>13824</v>
      </c>
      <c r="M279" s="21" t="n">
        <f aca="false">L299</f>
        <v>13841</v>
      </c>
      <c r="N279" s="21" t="n">
        <f aca="false">M299</f>
        <v>13841</v>
      </c>
      <c r="O279" s="21" t="n">
        <f aca="false">N299</f>
        <v>13841</v>
      </c>
    </row>
    <row r="280" customFormat="false" ht="12.75" hidden="false" customHeight="false" outlineLevel="0" collapsed="false">
      <c r="A280" s="22" t="s">
        <v>32</v>
      </c>
      <c r="C280" s="25" t="n">
        <v>-554</v>
      </c>
      <c r="D280" s="21" t="n">
        <f aca="false">-C289</f>
        <v>-617</v>
      </c>
      <c r="E280" s="21" t="n">
        <f aca="false">-D289</f>
        <v>-1743</v>
      </c>
      <c r="F280" s="21" t="n">
        <f aca="false">-E289</f>
        <v>-1652</v>
      </c>
      <c r="G280" s="21" t="n">
        <f aca="false">-F289</f>
        <v>-791</v>
      </c>
      <c r="H280" s="21" t="n">
        <f aca="false">-G289</f>
        <v>-1066</v>
      </c>
      <c r="I280" s="21" t="n">
        <f aca="false">-H289</f>
        <v>334</v>
      </c>
      <c r="J280" s="21" t="n">
        <f aca="false">-I289</f>
        <v>-407</v>
      </c>
      <c r="K280" s="21" t="n">
        <f aca="false">-J289</f>
        <v>194</v>
      </c>
      <c r="L280" s="21" t="n">
        <f aca="false">-K289</f>
        <v>-264</v>
      </c>
      <c r="M280" s="21" t="n">
        <f aca="false">-L289</f>
        <v>-281</v>
      </c>
      <c r="N280" s="21" t="n">
        <f aca="false">-M289</f>
        <v>-281</v>
      </c>
      <c r="O280" s="21" t="n">
        <f aca="false">-N289</f>
        <v>-281</v>
      </c>
    </row>
    <row r="281" customFormat="false" ht="8.1" hidden="false" customHeight="true" outlineLevel="0" collapsed="false">
      <c r="C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</row>
    <row r="282" customFormat="false" ht="12.75" hidden="false" customHeight="false" outlineLevel="0" collapsed="false">
      <c r="A282" s="22" t="s">
        <v>176</v>
      </c>
      <c r="B282" s="27" t="s">
        <v>34</v>
      </c>
      <c r="C282" s="25" t="n">
        <v>0</v>
      </c>
      <c r="D282" s="21" t="n">
        <f aca="false">[1]Source!D14</f>
        <v>0</v>
      </c>
      <c r="E282" s="21" t="n">
        <f aca="false">[1]Source!E14</f>
        <v>0</v>
      </c>
      <c r="F282" s="21" t="n">
        <f aca="false">[1]Source!F14</f>
        <v>0</v>
      </c>
      <c r="G282" s="21" t="n">
        <f aca="false">[1]Source!G14</f>
        <v>0</v>
      </c>
      <c r="H282" s="21" t="n">
        <f aca="false">[1]Source!H14</f>
        <v>0</v>
      </c>
      <c r="I282" s="21" t="n">
        <f aca="false">[1]Source!I14</f>
        <v>0</v>
      </c>
      <c r="J282" s="21" t="n">
        <f aca="false">[1]Source!J14</f>
        <v>0</v>
      </c>
      <c r="K282" s="21" t="n">
        <f aca="false">[1]Source!K14</f>
        <v>0</v>
      </c>
      <c r="L282" s="21" t="n">
        <f aca="false">[1]Source!L14</f>
        <v>0</v>
      </c>
      <c r="M282" s="21" t="n">
        <f aca="false">[1]Source!M14</f>
        <v>0</v>
      </c>
      <c r="N282" s="21" t="n">
        <f aca="false">[1]Source!N14</f>
        <v>0</v>
      </c>
      <c r="O282" s="21" t="n">
        <f aca="false">[1]Source!O14</f>
        <v>0</v>
      </c>
      <c r="P282" s="21" t="n">
        <f aca="false">SUM(D282:O282)</f>
        <v>0</v>
      </c>
      <c r="Q282" s="25" t="n">
        <f aca="false">SUM(D282:J282)</f>
        <v>0</v>
      </c>
      <c r="R282" s="21" t="n">
        <f aca="false">P282-Q282</f>
        <v>0</v>
      </c>
    </row>
    <row r="283" customFormat="false" ht="12.75" hidden="false" customHeight="false" outlineLevel="0" collapsed="false">
      <c r="A283" s="22" t="s">
        <v>177</v>
      </c>
      <c r="B283" s="27" t="s">
        <v>34</v>
      </c>
      <c r="C283" s="25" t="n">
        <v>617</v>
      </c>
      <c r="D283" s="21" t="n">
        <f aca="false">[1]Source!D34+[1]Source!D13</f>
        <v>1743</v>
      </c>
      <c r="E283" s="21" t="n">
        <f aca="false">[1]Source!E34+[1]Source!E13</f>
        <v>1652</v>
      </c>
      <c r="F283" s="21" t="n">
        <f aca="false">[1]Source!F34+[1]Source!F13</f>
        <v>791</v>
      </c>
      <c r="G283" s="21" t="n">
        <f aca="false">[1]Source!G34+[1]Source!G13</f>
        <v>1066</v>
      </c>
      <c r="H283" s="21" t="n">
        <f aca="false">[1]Source!H34+[1]Source!H13</f>
        <v>-334</v>
      </c>
      <c r="I283" s="21" t="n">
        <f aca="false">[1]Source!I34+[1]Source!I13</f>
        <v>407</v>
      </c>
      <c r="J283" s="21" t="n">
        <f aca="false">[1]Source!J34+[1]Source!J13</f>
        <v>-194</v>
      </c>
      <c r="K283" s="21" t="n">
        <f aca="false">[1]Source!K34+[1]Source!K13</f>
        <v>264</v>
      </c>
      <c r="L283" s="21" t="n">
        <f aca="false">[1]Source!L34+[1]Source!L13</f>
        <v>281</v>
      </c>
      <c r="M283" s="21" t="n">
        <f aca="false">[1]Source!M34+[1]Source!M13</f>
        <v>281</v>
      </c>
      <c r="N283" s="21" t="n">
        <f aca="false">[1]Source!N34+[1]Source!N13</f>
        <v>281</v>
      </c>
      <c r="O283" s="21" t="n">
        <f aca="false">[1]Source!O34+[1]Source!O13</f>
        <v>1012</v>
      </c>
      <c r="P283" s="21" t="n">
        <f aca="false">SUM(D283:O283)</f>
        <v>7250</v>
      </c>
      <c r="Q283" s="25" t="n">
        <f aca="false">SUM(D283:J283)</f>
        <v>5131</v>
      </c>
      <c r="R283" s="21" t="n">
        <f aca="false">P283-Q283</f>
        <v>2119</v>
      </c>
    </row>
    <row r="284" customFormat="false" ht="12.75" hidden="false" customHeight="false" outlineLevel="0" collapsed="false">
      <c r="A284" s="22" t="s">
        <v>178</v>
      </c>
      <c r="B284" s="27" t="s">
        <v>34</v>
      </c>
      <c r="C284" s="25" t="n">
        <v>0</v>
      </c>
      <c r="D284" s="21" t="n">
        <f aca="false">[1]Source!D15</f>
        <v>0</v>
      </c>
      <c r="E284" s="21" t="n">
        <f aca="false">[1]Source!E15</f>
        <v>0</v>
      </c>
      <c r="F284" s="21" t="n">
        <f aca="false">[1]Source!F15</f>
        <v>0</v>
      </c>
      <c r="G284" s="21" t="n">
        <f aca="false">[1]Source!G15</f>
        <v>0</v>
      </c>
      <c r="H284" s="21" t="n">
        <f aca="false">[1]Source!H15</f>
        <v>0</v>
      </c>
      <c r="I284" s="21" t="n">
        <f aca="false">[1]Source!I15</f>
        <v>0</v>
      </c>
      <c r="J284" s="21" t="n">
        <f aca="false">[1]Source!J15</f>
        <v>0</v>
      </c>
      <c r="K284" s="21" t="n">
        <f aca="false">[1]Source!K15</f>
        <v>0</v>
      </c>
      <c r="L284" s="21" t="n">
        <f aca="false">[1]Source!L15</f>
        <v>0</v>
      </c>
      <c r="M284" s="21" t="n">
        <f aca="false">[1]Source!M15</f>
        <v>0</v>
      </c>
      <c r="N284" s="21" t="n">
        <f aca="false">[1]Source!N15</f>
        <v>0</v>
      </c>
      <c r="O284" s="21" t="n">
        <f aca="false">[1]Source!O15</f>
        <v>0</v>
      </c>
      <c r="P284" s="21" t="n">
        <f aca="false">SUM(D284:O284)</f>
        <v>0</v>
      </c>
      <c r="Q284" s="25" t="n">
        <f aca="false">SUM(D284:J284)</f>
        <v>0</v>
      </c>
      <c r="R284" s="21" t="n">
        <f aca="false">P284-Q284</f>
        <v>0</v>
      </c>
    </row>
    <row r="285" customFormat="false" ht="12.75" hidden="false" customHeight="false" outlineLevel="0" collapsed="false">
      <c r="A285" s="22" t="s">
        <v>41</v>
      </c>
      <c r="C285" s="25" t="n">
        <v>0</v>
      </c>
      <c r="D285" s="25" t="n">
        <v>0</v>
      </c>
      <c r="E285" s="25" t="n">
        <v>0</v>
      </c>
      <c r="F285" s="25" t="n">
        <v>0</v>
      </c>
      <c r="G285" s="25" t="n">
        <v>0</v>
      </c>
      <c r="H285" s="25" t="n">
        <v>0</v>
      </c>
      <c r="I285" s="25" t="n">
        <v>0</v>
      </c>
      <c r="J285" s="25" t="n">
        <v>0</v>
      </c>
      <c r="K285" s="25" t="n">
        <v>0</v>
      </c>
      <c r="L285" s="25" t="n">
        <v>0</v>
      </c>
      <c r="M285" s="25" t="n">
        <v>0</v>
      </c>
      <c r="N285" s="25" t="n">
        <v>0</v>
      </c>
      <c r="O285" s="25" t="n">
        <v>0</v>
      </c>
      <c r="P285" s="21" t="n">
        <f aca="false">SUM(D285:O285)</f>
        <v>0</v>
      </c>
      <c r="Q285" s="25" t="n">
        <f aca="false">SUM(D285:J285)</f>
        <v>0</v>
      </c>
      <c r="R285" s="21" t="n">
        <f aca="false">P285-Q285</f>
        <v>0</v>
      </c>
    </row>
    <row r="286" customFormat="false" ht="12.75" hidden="false" customHeight="false" outlineLevel="0" collapsed="false">
      <c r="A286" s="22" t="s">
        <v>93</v>
      </c>
      <c r="C286" s="25" t="n">
        <v>0</v>
      </c>
      <c r="D286" s="25" t="n">
        <v>0</v>
      </c>
      <c r="E286" s="25" t="n">
        <v>0</v>
      </c>
      <c r="F286" s="25" t="n">
        <v>0</v>
      </c>
      <c r="G286" s="25" t="n">
        <v>0</v>
      </c>
      <c r="H286" s="25" t="n">
        <v>0</v>
      </c>
      <c r="I286" s="25" t="n">
        <v>0</v>
      </c>
      <c r="J286" s="25" t="n">
        <v>0</v>
      </c>
      <c r="K286" s="25" t="n">
        <v>0</v>
      </c>
      <c r="L286" s="25" t="n">
        <v>0</v>
      </c>
      <c r="M286" s="25" t="n">
        <v>0</v>
      </c>
      <c r="N286" s="25" t="n">
        <v>0</v>
      </c>
      <c r="O286" s="25" t="n">
        <v>0</v>
      </c>
      <c r="P286" s="21" t="n">
        <f aca="false">SUM(D286:O286)</f>
        <v>0</v>
      </c>
      <c r="Q286" s="25" t="n">
        <f aca="false">SUM(D286:J286)</f>
        <v>0</v>
      </c>
      <c r="R286" s="21" t="n">
        <f aca="false">P286-Q286</f>
        <v>0</v>
      </c>
    </row>
    <row r="287" customFormat="false" ht="12.75" hidden="false" customHeight="false" outlineLevel="0" collapsed="false">
      <c r="A287" s="22" t="s">
        <v>28</v>
      </c>
      <c r="C287" s="23" t="n">
        <v>0</v>
      </c>
      <c r="D287" s="23" t="n">
        <v>0</v>
      </c>
      <c r="E287" s="23" t="n">
        <v>0</v>
      </c>
      <c r="F287" s="23" t="n">
        <v>0</v>
      </c>
      <c r="G287" s="23" t="n">
        <v>0</v>
      </c>
      <c r="H287" s="23" t="n">
        <v>0</v>
      </c>
      <c r="I287" s="23" t="n">
        <v>0</v>
      </c>
      <c r="J287" s="23" t="n">
        <v>0</v>
      </c>
      <c r="K287" s="23" t="n">
        <v>0</v>
      </c>
      <c r="L287" s="23" t="n">
        <v>0</v>
      </c>
      <c r="M287" s="23" t="n">
        <v>0</v>
      </c>
      <c r="N287" s="23" t="n">
        <v>0</v>
      </c>
      <c r="O287" s="23" t="n">
        <v>0</v>
      </c>
      <c r="P287" s="24" t="n">
        <f aca="false">SUM(D287:O287)</f>
        <v>0</v>
      </c>
      <c r="Q287" s="23" t="n">
        <f aca="false">SUM(D287:J287)</f>
        <v>0</v>
      </c>
      <c r="R287" s="24" t="n">
        <f aca="false">P287-Q287</f>
        <v>0</v>
      </c>
    </row>
    <row r="288" customFormat="false" ht="3.95" hidden="false" customHeight="true" outlineLevel="0" collapsed="false"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customFormat="false" ht="12.75" hidden="false" customHeight="false" outlineLevel="0" collapsed="false">
      <c r="A289" s="22" t="s">
        <v>179</v>
      </c>
      <c r="C289" s="21" t="n">
        <f aca="false">SUM(C282:C288)</f>
        <v>617</v>
      </c>
      <c r="D289" s="21" t="n">
        <f aca="false">SUM(D282:D288)</f>
        <v>1743</v>
      </c>
      <c r="E289" s="21" t="n">
        <f aca="false">SUM(E282:E288)</f>
        <v>1652</v>
      </c>
      <c r="F289" s="21" t="n">
        <f aca="false">SUM(F282:F288)</f>
        <v>791</v>
      </c>
      <c r="G289" s="21" t="n">
        <f aca="false">SUM(G282:G288)</f>
        <v>1066</v>
      </c>
      <c r="H289" s="21" t="n">
        <f aca="false">SUM(H282:H288)</f>
        <v>-334</v>
      </c>
      <c r="I289" s="21" t="n">
        <f aca="false">SUM(I282:I288)</f>
        <v>407</v>
      </c>
      <c r="J289" s="21" t="n">
        <f aca="false">SUM(J282:J288)</f>
        <v>-194</v>
      </c>
      <c r="K289" s="21" t="n">
        <f aca="false">SUM(K282:K288)</f>
        <v>264</v>
      </c>
      <c r="L289" s="21" t="n">
        <f aca="false">SUM(L282:L288)</f>
        <v>281</v>
      </c>
      <c r="M289" s="21" t="n">
        <f aca="false">SUM(M282:M288)</f>
        <v>281</v>
      </c>
      <c r="N289" s="21" t="n">
        <f aca="false">SUM(N282:N288)</f>
        <v>281</v>
      </c>
      <c r="O289" s="21" t="n">
        <f aca="false">SUM(O282:O288)</f>
        <v>1012</v>
      </c>
      <c r="P289" s="21" t="n">
        <f aca="false">SUM(P282:P288)</f>
        <v>7250</v>
      </c>
      <c r="Q289" s="21" t="n">
        <f aca="false">SUM(Q282:Q288)</f>
        <v>5131</v>
      </c>
      <c r="R289" s="21" t="n">
        <f aca="false">P289-Q289</f>
        <v>2119</v>
      </c>
    </row>
    <row r="290" customFormat="false" ht="6" hidden="false" customHeight="true" outlineLevel="0" collapsed="false">
      <c r="A290" s="22"/>
      <c r="B290" s="27"/>
      <c r="C290" s="25"/>
      <c r="D290" s="25"/>
      <c r="E290" s="25"/>
      <c r="F290" s="25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customFormat="false" ht="12.75" hidden="false" customHeight="false" outlineLevel="0" collapsed="false">
      <c r="A291" s="22" t="s">
        <v>180</v>
      </c>
      <c r="B291" s="27"/>
      <c r="C291" s="25" t="n">
        <v>0</v>
      </c>
      <c r="D291" s="25" t="n">
        <v>0</v>
      </c>
      <c r="E291" s="25" t="n">
        <v>0</v>
      </c>
      <c r="F291" s="25" t="n">
        <v>0</v>
      </c>
      <c r="G291" s="25" t="n">
        <v>0</v>
      </c>
      <c r="H291" s="25" t="n">
        <v>0</v>
      </c>
      <c r="I291" s="25" t="n">
        <v>0</v>
      </c>
      <c r="J291" s="25" t="n">
        <v>0</v>
      </c>
      <c r="K291" s="25" t="n">
        <v>0</v>
      </c>
      <c r="L291" s="25" t="n">
        <v>0</v>
      </c>
      <c r="M291" s="25" t="n">
        <v>0</v>
      </c>
      <c r="N291" s="25" t="n">
        <v>0</v>
      </c>
      <c r="O291" s="25" t="n">
        <v>0</v>
      </c>
      <c r="P291" s="21" t="n">
        <f aca="false">SUM(D291:O291)</f>
        <v>0</v>
      </c>
      <c r="Q291" s="25" t="n">
        <f aca="false">SUM(D291:J291)</f>
        <v>0</v>
      </c>
      <c r="R291" s="21" t="n">
        <f aca="false">P291-Q291</f>
        <v>0</v>
      </c>
      <c r="S291" s="21" t="n">
        <f aca="false">SUM(C291:O291)</f>
        <v>0</v>
      </c>
    </row>
    <row r="292" customFormat="false" ht="12.75" hidden="false" customHeight="false" outlineLevel="0" collapsed="false">
      <c r="A292" s="22" t="s">
        <v>181</v>
      </c>
      <c r="C292" s="25" t="n">
        <v>18746</v>
      </c>
      <c r="D292" s="25" t="n">
        <v>19663</v>
      </c>
      <c r="E292" s="25" t="n">
        <v>-40447</v>
      </c>
      <c r="F292" s="25" t="n">
        <v>-369</v>
      </c>
      <c r="G292" s="25" t="n">
        <v>-87</v>
      </c>
      <c r="H292" s="25" t="n">
        <v>-314</v>
      </c>
      <c r="I292" s="25" t="n">
        <v>117</v>
      </c>
      <c r="J292" s="25" t="n">
        <v>648</v>
      </c>
      <c r="K292" s="25" t="n">
        <v>0</v>
      </c>
      <c r="L292" s="25" t="n">
        <v>0</v>
      </c>
      <c r="M292" s="25" t="n">
        <v>0</v>
      </c>
      <c r="N292" s="25" t="n">
        <v>0</v>
      </c>
      <c r="O292" s="25" t="n">
        <v>0</v>
      </c>
      <c r="P292" s="21" t="n">
        <f aca="false">SUM(D292:O292)</f>
        <v>-20789</v>
      </c>
      <c r="Q292" s="25" t="n">
        <f aca="false">SUM(D292:J292)</f>
        <v>-20789</v>
      </c>
      <c r="R292" s="21" t="n">
        <f aca="false">P292-Q292</f>
        <v>0</v>
      </c>
    </row>
    <row r="293" customFormat="false" ht="12.75" hidden="false" customHeight="false" outlineLevel="0" collapsed="false">
      <c r="A293" s="22" t="s">
        <v>182</v>
      </c>
      <c r="C293" s="25" t="n">
        <v>2437</v>
      </c>
      <c r="D293" s="25" t="n">
        <v>2034</v>
      </c>
      <c r="E293" s="25" t="n">
        <v>1478</v>
      </c>
      <c r="F293" s="25" t="n">
        <v>-3196</v>
      </c>
      <c r="G293" s="25" t="n">
        <v>622</v>
      </c>
      <c r="H293" s="25" t="n">
        <v>24</v>
      </c>
      <c r="I293" s="25" t="n">
        <v>266</v>
      </c>
      <c r="J293" s="25" t="n">
        <v>-235</v>
      </c>
      <c r="K293" s="25" t="n">
        <v>0</v>
      </c>
      <c r="L293" s="25" t="n">
        <v>0</v>
      </c>
      <c r="M293" s="25" t="n">
        <v>0</v>
      </c>
      <c r="N293" s="25" t="n">
        <v>0</v>
      </c>
      <c r="O293" s="25" t="n">
        <v>0</v>
      </c>
      <c r="P293" s="21" t="n">
        <f aca="false">SUM(D293:O293)</f>
        <v>993</v>
      </c>
      <c r="Q293" s="25" t="n">
        <f aca="false">SUM(D293:J293)</f>
        <v>993</v>
      </c>
      <c r="R293" s="21" t="n">
        <f aca="false">P293-Q293</f>
        <v>0</v>
      </c>
    </row>
    <row r="294" customFormat="false" ht="12.75" hidden="false" customHeight="false" outlineLevel="0" collapsed="false">
      <c r="A294" s="22" t="s">
        <v>183</v>
      </c>
      <c r="C294" s="25" t="n">
        <v>0</v>
      </c>
      <c r="D294" s="25" t="n">
        <v>0</v>
      </c>
      <c r="E294" s="25" t="n">
        <v>0</v>
      </c>
      <c r="F294" s="25" t="n">
        <v>14594</v>
      </c>
      <c r="G294" s="25" t="n">
        <v>-14594</v>
      </c>
      <c r="H294" s="25" t="n">
        <v>0</v>
      </c>
      <c r="I294" s="25" t="n">
        <v>0</v>
      </c>
      <c r="J294" s="25" t="n">
        <v>0</v>
      </c>
      <c r="K294" s="25" t="n">
        <v>0</v>
      </c>
      <c r="L294" s="25" t="n">
        <v>0</v>
      </c>
      <c r="M294" s="25" t="n">
        <v>0</v>
      </c>
      <c r="N294" s="25" t="n">
        <v>0</v>
      </c>
      <c r="O294" s="25" t="n">
        <v>0</v>
      </c>
      <c r="P294" s="21" t="n">
        <f aca="false">SUM(D294:O294)</f>
        <v>0</v>
      </c>
      <c r="Q294" s="25" t="n">
        <f aca="false">SUM(D294:J294)</f>
        <v>0</v>
      </c>
      <c r="R294" s="21" t="n">
        <f aca="false">P294-Q294</f>
        <v>0</v>
      </c>
    </row>
    <row r="295" customFormat="false" ht="12.75" hidden="false" customHeight="false" outlineLevel="0" collapsed="false">
      <c r="A295" s="22" t="s">
        <v>41</v>
      </c>
      <c r="C295" s="25" t="n">
        <v>0</v>
      </c>
      <c r="D295" s="25" t="n">
        <v>0</v>
      </c>
      <c r="E295" s="25" t="n">
        <v>0</v>
      </c>
      <c r="F295" s="25" t="n">
        <v>0</v>
      </c>
      <c r="G295" s="25" t="n">
        <v>0</v>
      </c>
      <c r="H295" s="25" t="n">
        <v>0</v>
      </c>
      <c r="I295" s="25" t="n">
        <v>0</v>
      </c>
      <c r="J295" s="25" t="n">
        <v>0</v>
      </c>
      <c r="K295" s="25" t="n">
        <v>0</v>
      </c>
      <c r="L295" s="25" t="n">
        <v>0</v>
      </c>
      <c r="M295" s="25" t="n">
        <v>0</v>
      </c>
      <c r="N295" s="25" t="n">
        <v>0</v>
      </c>
      <c r="O295" s="25" t="n">
        <v>0</v>
      </c>
      <c r="P295" s="21" t="n">
        <f aca="false">SUM(D295:O295)</f>
        <v>0</v>
      </c>
      <c r="Q295" s="25" t="n">
        <f aca="false">SUM(D295:J295)</f>
        <v>0</v>
      </c>
      <c r="R295" s="21" t="n">
        <f aca="false">P295-Q295</f>
        <v>0</v>
      </c>
    </row>
    <row r="296" customFormat="false" ht="12.75" hidden="false" customHeight="false" outlineLevel="0" collapsed="false">
      <c r="A296" s="22" t="s">
        <v>184</v>
      </c>
      <c r="C296" s="25" t="n">
        <v>0</v>
      </c>
      <c r="D296" s="25" t="n">
        <v>0</v>
      </c>
      <c r="E296" s="25" t="n">
        <v>0</v>
      </c>
      <c r="F296" s="25" t="n">
        <v>0</v>
      </c>
      <c r="G296" s="25" t="n">
        <v>0</v>
      </c>
      <c r="H296" s="25" t="n">
        <v>0</v>
      </c>
      <c r="I296" s="25" t="n">
        <v>0</v>
      </c>
      <c r="J296" s="25" t="n">
        <v>0</v>
      </c>
      <c r="K296" s="25" t="n">
        <v>0</v>
      </c>
      <c r="L296" s="25" t="n">
        <v>0</v>
      </c>
      <c r="M296" s="26" t="n">
        <f aca="false">(9683+351)+977-11011</f>
        <v>0</v>
      </c>
      <c r="N296" s="25" t="n">
        <v>0</v>
      </c>
      <c r="O296" s="26" t="n">
        <f aca="false">-11011+11011</f>
        <v>0</v>
      </c>
      <c r="P296" s="21" t="n">
        <f aca="false">SUM(D296:O296)</f>
        <v>0</v>
      </c>
      <c r="Q296" s="25" t="n">
        <f aca="false">SUM(D296:J296)</f>
        <v>0</v>
      </c>
      <c r="R296" s="21" t="n">
        <f aca="false">P296-Q296</f>
        <v>0</v>
      </c>
    </row>
    <row r="297" customFormat="false" ht="12.75" hidden="false" customHeight="false" outlineLevel="0" collapsed="false">
      <c r="A297" s="22" t="s">
        <v>41</v>
      </c>
      <c r="C297" s="23" t="n">
        <v>0</v>
      </c>
      <c r="D297" s="23" t="n">
        <v>-2316</v>
      </c>
      <c r="E297" s="23" t="n">
        <v>-311</v>
      </c>
      <c r="F297" s="23" t="n">
        <v>1575</v>
      </c>
      <c r="G297" s="23" t="n">
        <v>152</v>
      </c>
      <c r="H297" s="23" t="n">
        <v>1389</v>
      </c>
      <c r="I297" s="23" t="n">
        <v>278</v>
      </c>
      <c r="J297" s="23" t="n">
        <v>1484</v>
      </c>
      <c r="K297" s="23" t="n">
        <v>0</v>
      </c>
      <c r="L297" s="23" t="n">
        <v>0</v>
      </c>
      <c r="M297" s="23" t="n">
        <v>0</v>
      </c>
      <c r="N297" s="23" t="n">
        <v>0</v>
      </c>
      <c r="O297" s="23" t="n">
        <v>0</v>
      </c>
      <c r="P297" s="24" t="n">
        <f aca="false">SUM(D297:O297)</f>
        <v>2251</v>
      </c>
      <c r="Q297" s="23" t="n">
        <f aca="false">SUM(D297:J297)</f>
        <v>2251</v>
      </c>
      <c r="R297" s="24" t="n">
        <f aca="false">P297-Q297</f>
        <v>0</v>
      </c>
    </row>
    <row r="298" customFormat="false" ht="3.95" hidden="false" customHeight="true" outlineLevel="0" collapsed="false"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customFormat="false" ht="12.75" hidden="false" customHeight="false" outlineLevel="0" collapsed="false">
      <c r="A299" s="20" t="s">
        <v>185</v>
      </c>
      <c r="C299" s="21" t="n">
        <f aca="false">C279+C280+C289+SUM(C291:C297)</f>
        <v>31722</v>
      </c>
      <c r="D299" s="21" t="n">
        <f aca="false">D279+D280+D289+SUM(D291:D297)</f>
        <v>52229</v>
      </c>
      <c r="E299" s="21" t="n">
        <f aca="false">E279+E280+E289+SUM(E291:E297)</f>
        <v>12858</v>
      </c>
      <c r="F299" s="21" t="n">
        <f aca="false">F279+F280+F289+SUM(F291:F297)</f>
        <v>24601</v>
      </c>
      <c r="G299" s="21" t="n">
        <f aca="false">G279+G280+G289+SUM(G291:G297)</f>
        <v>10969</v>
      </c>
      <c r="H299" s="21" t="n">
        <f aca="false">H279+H280+H289+SUM(H291:H297)</f>
        <v>10668</v>
      </c>
      <c r="I299" s="21" t="n">
        <f aca="false">I279+I280+I289+SUM(I291:I297)</f>
        <v>12070</v>
      </c>
      <c r="J299" s="21" t="n">
        <f aca="false">J279+J280+J289+SUM(J291:J297)</f>
        <v>13366</v>
      </c>
      <c r="K299" s="21" t="n">
        <f aca="false">K279+K280+K289+SUM(K291:K297)</f>
        <v>13824</v>
      </c>
      <c r="L299" s="21" t="n">
        <f aca="false">L279+L280+L289+SUM(L291:L297)</f>
        <v>13841</v>
      </c>
      <c r="M299" s="21" t="n">
        <f aca="false">M279+M280+M289+SUM(M291:M297)</f>
        <v>13841</v>
      </c>
      <c r="N299" s="21" t="n">
        <f aca="false">N279+N280+N289+SUM(N291:N297)</f>
        <v>13841</v>
      </c>
      <c r="O299" s="21" t="n">
        <f aca="false">O279+O280+O289+SUM(O291:O297)</f>
        <v>14572</v>
      </c>
    </row>
    <row r="300" customFormat="false" ht="3.95" hidden="false" customHeight="true" outlineLevel="0" collapsed="false"/>
    <row r="301" customFormat="false" ht="12.75" hidden="false" customHeight="false" outlineLevel="0" collapsed="false">
      <c r="A301" s="22" t="s">
        <v>30</v>
      </c>
      <c r="D301" s="21" t="n">
        <f aca="false">D299-C299</f>
        <v>20507</v>
      </c>
      <c r="E301" s="21" t="n">
        <f aca="false">E299-D299</f>
        <v>-39371</v>
      </c>
      <c r="F301" s="21" t="n">
        <f aca="false">F299-E299</f>
        <v>11743</v>
      </c>
      <c r="G301" s="21" t="n">
        <f aca="false">G299-F299</f>
        <v>-13632</v>
      </c>
      <c r="H301" s="21" t="n">
        <f aca="false">H299-G299</f>
        <v>-301</v>
      </c>
      <c r="I301" s="21" t="n">
        <f aca="false">I299-H299</f>
        <v>1402</v>
      </c>
      <c r="J301" s="21" t="n">
        <f aca="false">J299-I299</f>
        <v>1296</v>
      </c>
      <c r="K301" s="21" t="n">
        <f aca="false">K299-J299</f>
        <v>458</v>
      </c>
      <c r="L301" s="21" t="n">
        <f aca="false">L299-K299</f>
        <v>17</v>
      </c>
      <c r="M301" s="21" t="n">
        <f aca="false">M299-L299</f>
        <v>0</v>
      </c>
      <c r="N301" s="21" t="n">
        <f aca="false">N299-M299</f>
        <v>0</v>
      </c>
      <c r="O301" s="21" t="n">
        <f aca="false">O299-N299</f>
        <v>731</v>
      </c>
      <c r="P301" s="21" t="n">
        <f aca="false">SUM(D301:O301)</f>
        <v>-17150</v>
      </c>
      <c r="Q301" s="25" t="n">
        <f aca="false">SUM(D301:J301)</f>
        <v>-18356</v>
      </c>
      <c r="R301" s="21" t="n">
        <f aca="false">P301-Q301</f>
        <v>1206</v>
      </c>
    </row>
    <row r="303" customFormat="false" ht="12.75" hidden="false" customHeight="false" outlineLevel="0" collapsed="false">
      <c r="A303" s="20" t="s">
        <v>186</v>
      </c>
      <c r="C303" s="25" t="n">
        <v>0</v>
      </c>
      <c r="D303" s="21" t="n">
        <f aca="false">C308</f>
        <v>573870</v>
      </c>
      <c r="E303" s="21" t="n">
        <f aca="false">D308</f>
        <v>593130</v>
      </c>
      <c r="F303" s="21" t="n">
        <f aca="false">E308</f>
        <v>612073</v>
      </c>
      <c r="G303" s="21" t="n">
        <f aca="false">F308</f>
        <v>636921</v>
      </c>
      <c r="H303" s="21" t="n">
        <f aca="false">G308</f>
        <v>637328</v>
      </c>
      <c r="I303" s="21" t="n">
        <f aca="false">H308</f>
        <v>643167</v>
      </c>
      <c r="J303" s="21" t="n">
        <f aca="false">I308</f>
        <v>656330</v>
      </c>
      <c r="K303" s="21" t="n">
        <f aca="false">J308</f>
        <v>664746</v>
      </c>
      <c r="L303" s="21" t="n">
        <f aca="false">K308</f>
        <v>670646</v>
      </c>
      <c r="M303" s="21" t="n">
        <f aca="false">L308</f>
        <v>677446</v>
      </c>
      <c r="N303" s="21" t="n">
        <f aca="false">M308</f>
        <v>697446</v>
      </c>
      <c r="O303" s="21" t="n">
        <f aca="false">N308</f>
        <v>717946</v>
      </c>
      <c r="P303" s="21"/>
    </row>
    <row r="304" customFormat="false" ht="12.75" hidden="false" customHeight="false" outlineLevel="0" collapsed="false">
      <c r="A304" s="22" t="s">
        <v>187</v>
      </c>
      <c r="C304" s="25" t="n">
        <v>573870</v>
      </c>
      <c r="D304" s="25" t="n">
        <v>19260</v>
      </c>
      <c r="E304" s="25" t="n">
        <v>18943</v>
      </c>
      <c r="F304" s="25" t="n">
        <v>24848</v>
      </c>
      <c r="G304" s="25" t="n">
        <v>407</v>
      </c>
      <c r="H304" s="25" t="n">
        <v>5839</v>
      </c>
      <c r="I304" s="25" t="n">
        <v>13163</v>
      </c>
      <c r="J304" s="25" t="n">
        <v>8416</v>
      </c>
      <c r="K304" s="25" t="n">
        <v>5900</v>
      </c>
      <c r="L304" s="25" t="n">
        <v>6800</v>
      </c>
      <c r="M304" s="25" t="n">
        <v>20000</v>
      </c>
      <c r="N304" s="25" t="n">
        <v>20500</v>
      </c>
      <c r="O304" s="25" t="n">
        <v>18800</v>
      </c>
      <c r="P304" s="21" t="n">
        <f aca="false">SUM(D304:O304)</f>
        <v>162876</v>
      </c>
      <c r="Q304" s="25" t="n">
        <f aca="false">SUM(D304:J304)</f>
        <v>90876</v>
      </c>
      <c r="R304" s="21" t="n">
        <f aca="false">P304-Q304</f>
        <v>72000</v>
      </c>
    </row>
    <row r="305" customFormat="false" ht="12.75" hidden="false" customHeight="false" outlineLevel="0" collapsed="false">
      <c r="A305" s="22" t="s">
        <v>188</v>
      </c>
      <c r="C305" s="25" t="n">
        <v>0</v>
      </c>
      <c r="D305" s="25" t="n">
        <v>0</v>
      </c>
      <c r="E305" s="25" t="n">
        <v>0</v>
      </c>
      <c r="F305" s="25" t="n">
        <v>0</v>
      </c>
      <c r="G305" s="25" t="n">
        <v>0</v>
      </c>
      <c r="H305" s="25" t="n">
        <v>0</v>
      </c>
      <c r="I305" s="26" t="n">
        <f aca="false">1340-132-1208</f>
        <v>0</v>
      </c>
      <c r="J305" s="25" t="n">
        <v>0</v>
      </c>
      <c r="K305" s="25" t="n">
        <v>0</v>
      </c>
      <c r="L305" s="25" t="n">
        <v>0</v>
      </c>
      <c r="M305" s="25" t="n">
        <v>0</v>
      </c>
      <c r="N305" s="25" t="n">
        <v>0</v>
      </c>
      <c r="O305" s="25" t="n">
        <v>0</v>
      </c>
      <c r="P305" s="21" t="n">
        <f aca="false">SUM(D305:O305)</f>
        <v>0</v>
      </c>
      <c r="Q305" s="25" t="n">
        <f aca="false">SUM(D305:J305)</f>
        <v>0</v>
      </c>
      <c r="R305" s="21" t="n">
        <f aca="false">P305-Q305</f>
        <v>0</v>
      </c>
    </row>
    <row r="306" customFormat="false" ht="12.75" hidden="false" customHeight="false" outlineLevel="0" collapsed="false">
      <c r="A306" s="22" t="s">
        <v>189</v>
      </c>
      <c r="C306" s="23" t="n">
        <v>0</v>
      </c>
      <c r="D306" s="23" t="n">
        <v>0</v>
      </c>
      <c r="E306" s="23" t="n">
        <v>0</v>
      </c>
      <c r="F306" s="23" t="n">
        <v>0</v>
      </c>
      <c r="G306" s="23" t="n">
        <v>0</v>
      </c>
      <c r="H306" s="23" t="n">
        <v>0</v>
      </c>
      <c r="I306" s="23" t="n">
        <v>0</v>
      </c>
      <c r="J306" s="23" t="n">
        <v>0</v>
      </c>
      <c r="K306" s="23" t="n">
        <v>0</v>
      </c>
      <c r="L306" s="23" t="n">
        <v>0</v>
      </c>
      <c r="M306" s="23" t="n">
        <v>0</v>
      </c>
      <c r="N306" s="23" t="n">
        <v>0</v>
      </c>
      <c r="O306" s="23" t="n">
        <v>0</v>
      </c>
      <c r="P306" s="24" t="n">
        <f aca="false">SUM(D306:O306)</f>
        <v>0</v>
      </c>
      <c r="Q306" s="23" t="n">
        <f aca="false">SUM(D306:J306)</f>
        <v>0</v>
      </c>
      <c r="R306" s="24" t="n">
        <f aca="false">P306-Q306</f>
        <v>0</v>
      </c>
    </row>
    <row r="307" customFormat="false" ht="3.95" hidden="false" customHeight="true" outlineLevel="0" collapsed="false"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customFormat="false" ht="12.75" hidden="false" customHeight="false" outlineLevel="0" collapsed="false">
      <c r="A308" s="20" t="s">
        <v>190</v>
      </c>
      <c r="C308" s="21" t="n">
        <f aca="false">SUM(C303:C307)</f>
        <v>573870</v>
      </c>
      <c r="D308" s="21" t="n">
        <f aca="false">SUM(D303:D307)</f>
        <v>593130</v>
      </c>
      <c r="E308" s="21" t="n">
        <f aca="false">SUM(E303:E307)</f>
        <v>612073</v>
      </c>
      <c r="F308" s="21" t="n">
        <f aca="false">SUM(F303:F307)</f>
        <v>636921</v>
      </c>
      <c r="G308" s="21" t="n">
        <f aca="false">SUM(G303:G307)</f>
        <v>637328</v>
      </c>
      <c r="H308" s="21" t="n">
        <f aca="false">SUM(H303:H307)</f>
        <v>643167</v>
      </c>
      <c r="I308" s="21" t="n">
        <f aca="false">SUM(I303:I307)</f>
        <v>656330</v>
      </c>
      <c r="J308" s="21" t="n">
        <f aca="false">SUM(J303:J307)</f>
        <v>664746</v>
      </c>
      <c r="K308" s="21" t="n">
        <f aca="false">SUM(K303:K307)</f>
        <v>670646</v>
      </c>
      <c r="L308" s="21" t="n">
        <f aca="false">SUM(L303:L307)</f>
        <v>677446</v>
      </c>
      <c r="M308" s="21" t="n">
        <f aca="false">SUM(M303:M307)</f>
        <v>697446</v>
      </c>
      <c r="N308" s="21" t="n">
        <f aca="false">SUM(N303:N307)</f>
        <v>717946</v>
      </c>
      <c r="O308" s="21" t="n">
        <f aca="false">SUM(O303:O307)</f>
        <v>736746</v>
      </c>
      <c r="P308" s="21"/>
    </row>
    <row r="309" customFormat="false" ht="3.95" hidden="false" customHeight="true" outlineLevel="0" collapsed="false"/>
    <row r="310" customFormat="false" ht="12.75" hidden="false" customHeight="false" outlineLevel="0" collapsed="false">
      <c r="A310" s="22" t="s">
        <v>30</v>
      </c>
      <c r="D310" s="21" t="n">
        <f aca="false">D308-C308</f>
        <v>19260</v>
      </c>
      <c r="E310" s="21" t="n">
        <f aca="false">E308-D308</f>
        <v>18943</v>
      </c>
      <c r="F310" s="21" t="n">
        <f aca="false">F308-E308</f>
        <v>24848</v>
      </c>
      <c r="G310" s="21" t="n">
        <f aca="false">G308-F308</f>
        <v>407</v>
      </c>
      <c r="H310" s="21" t="n">
        <f aca="false">H308-G308</f>
        <v>5839</v>
      </c>
      <c r="I310" s="21" t="n">
        <f aca="false">I308-H308</f>
        <v>13163</v>
      </c>
      <c r="J310" s="21" t="n">
        <f aca="false">J308-I308</f>
        <v>8416</v>
      </c>
      <c r="K310" s="21" t="n">
        <f aca="false">K308-J308</f>
        <v>5900</v>
      </c>
      <c r="L310" s="21" t="n">
        <f aca="false">L308-K308</f>
        <v>6800</v>
      </c>
      <c r="M310" s="21" t="n">
        <f aca="false">M308-L308</f>
        <v>20000</v>
      </c>
      <c r="N310" s="21" t="n">
        <f aca="false">N308-M308</f>
        <v>20500</v>
      </c>
      <c r="O310" s="21" t="n">
        <f aca="false">O308-N308</f>
        <v>18800</v>
      </c>
      <c r="P310" s="21" t="n">
        <f aca="false">SUM(D310:O310)</f>
        <v>162876</v>
      </c>
      <c r="Q310" s="21" t="n">
        <f aca="false">SUM(Q304:Q307)</f>
        <v>90876</v>
      </c>
      <c r="R310" s="21" t="n">
        <f aca="false">P310-Q310</f>
        <v>72000</v>
      </c>
    </row>
    <row r="312" customFormat="false" ht="12.75" hidden="false" customHeight="false" outlineLevel="0" collapsed="false">
      <c r="A312" s="20" t="s">
        <v>191</v>
      </c>
      <c r="D312" s="21" t="n">
        <f aca="false">C317</f>
        <v>0</v>
      </c>
      <c r="E312" s="21" t="n">
        <f aca="false">D317</f>
        <v>0</v>
      </c>
      <c r="F312" s="21" t="n">
        <f aca="false">E317</f>
        <v>0</v>
      </c>
      <c r="G312" s="21" t="n">
        <f aca="false">F317</f>
        <v>0</v>
      </c>
      <c r="H312" s="21" t="n">
        <f aca="false">G317</f>
        <v>0</v>
      </c>
      <c r="I312" s="21" t="n">
        <f aca="false">H317</f>
        <v>0</v>
      </c>
      <c r="J312" s="21" t="n">
        <f aca="false">I317</f>
        <v>0</v>
      </c>
      <c r="K312" s="21" t="n">
        <f aca="false">J317</f>
        <v>0</v>
      </c>
      <c r="L312" s="21" t="n">
        <f aca="false">K317</f>
        <v>3301</v>
      </c>
      <c r="M312" s="21" t="n">
        <f aca="false">L317</f>
        <v>5234</v>
      </c>
      <c r="N312" s="21" t="n">
        <f aca="false">M317</f>
        <v>1239</v>
      </c>
      <c r="O312" s="21" t="n">
        <f aca="false">N317</f>
        <v>-4702</v>
      </c>
      <c r="P312" s="21"/>
    </row>
    <row r="313" customFormat="false" ht="12.75" hidden="false" customHeight="false" outlineLevel="0" collapsed="false">
      <c r="A313" s="22" t="s">
        <v>192</v>
      </c>
      <c r="C313" s="25" t="n">
        <v>0</v>
      </c>
      <c r="D313" s="25" t="n">
        <v>0</v>
      </c>
      <c r="E313" s="25" t="n">
        <v>0</v>
      </c>
      <c r="F313" s="25" t="n">
        <v>0</v>
      </c>
      <c r="G313" s="25" t="n">
        <v>0</v>
      </c>
      <c r="H313" s="25" t="n">
        <v>0</v>
      </c>
      <c r="I313" s="25" t="n">
        <v>0</v>
      </c>
      <c r="J313" s="25" t="n">
        <v>0</v>
      </c>
      <c r="K313" s="25" t="n">
        <v>0</v>
      </c>
      <c r="L313" s="25" t="n">
        <v>0</v>
      </c>
      <c r="M313" s="25" t="n">
        <v>0</v>
      </c>
      <c r="N313" s="25" t="n">
        <v>0</v>
      </c>
      <c r="O313" s="25" t="n">
        <v>0</v>
      </c>
      <c r="P313" s="21" t="n">
        <f aca="false">SUM(D313:O313)</f>
        <v>0</v>
      </c>
      <c r="Q313" s="25" t="n">
        <f aca="false">SUM(D313:J313)</f>
        <v>0</v>
      </c>
      <c r="R313" s="21" t="n">
        <f aca="false">P313-Q313</f>
        <v>0</v>
      </c>
      <c r="T313" s="21" t="n">
        <f aca="false">ROUND(((C27+D421+D432)*0.8)-C317-D314,0)</f>
        <v>50829</v>
      </c>
    </row>
    <row r="314" customFormat="false" ht="12.75" hidden="false" customHeight="false" outlineLevel="0" collapsed="false">
      <c r="A314" s="22" t="s">
        <v>41</v>
      </c>
      <c r="C314" s="25" t="n">
        <v>0</v>
      </c>
      <c r="D314" s="25" t="n">
        <v>0</v>
      </c>
      <c r="E314" s="25" t="n">
        <v>0</v>
      </c>
      <c r="F314" s="25" t="n">
        <v>0</v>
      </c>
      <c r="G314" s="25" t="n">
        <v>0</v>
      </c>
      <c r="H314" s="25" t="n">
        <v>0</v>
      </c>
      <c r="I314" s="25" t="n">
        <v>0</v>
      </c>
      <c r="J314" s="25" t="n">
        <v>0</v>
      </c>
      <c r="K314" s="25" t="n">
        <v>3301</v>
      </c>
      <c r="L314" s="25" t="n">
        <v>1933</v>
      </c>
      <c r="M314" s="25" t="n">
        <v>-3995</v>
      </c>
      <c r="N314" s="25" t="n">
        <v>-5941</v>
      </c>
      <c r="O314" s="25" t="n">
        <v>-1862</v>
      </c>
      <c r="P314" s="21" t="n">
        <f aca="false">SUM(D314:O314)</f>
        <v>-6564</v>
      </c>
      <c r="Q314" s="25" t="n">
        <f aca="false">SUM(D314:J314)</f>
        <v>0</v>
      </c>
      <c r="R314" s="21" t="n">
        <f aca="false">P314-Q314</f>
        <v>-6564</v>
      </c>
    </row>
    <row r="315" customFormat="false" ht="12.75" hidden="false" customHeight="false" outlineLevel="0" collapsed="false">
      <c r="A315" s="22" t="s">
        <v>50</v>
      </c>
      <c r="C315" s="23" t="n">
        <v>0</v>
      </c>
      <c r="D315" s="23" t="n">
        <v>0</v>
      </c>
      <c r="E315" s="23" t="n">
        <v>0</v>
      </c>
      <c r="F315" s="23" t="n">
        <v>0</v>
      </c>
      <c r="G315" s="23" t="n">
        <v>0</v>
      </c>
      <c r="H315" s="23" t="n">
        <v>0</v>
      </c>
      <c r="I315" s="23" t="n">
        <v>0</v>
      </c>
      <c r="J315" s="23" t="n">
        <v>0</v>
      </c>
      <c r="K315" s="23" t="n">
        <v>0</v>
      </c>
      <c r="L315" s="23" t="n">
        <v>0</v>
      </c>
      <c r="M315" s="23" t="n">
        <v>0</v>
      </c>
      <c r="N315" s="23" t="n">
        <v>0</v>
      </c>
      <c r="O315" s="23" t="n">
        <v>0</v>
      </c>
      <c r="P315" s="24" t="n">
        <f aca="false">SUM(D315:O315)</f>
        <v>0</v>
      </c>
      <c r="Q315" s="23" t="n">
        <f aca="false">SUM(D315:J315)</f>
        <v>0</v>
      </c>
      <c r="R315" s="24" t="n">
        <f aca="false">P315-Q315</f>
        <v>0</v>
      </c>
    </row>
    <row r="316" customFormat="false" ht="3.95" hidden="false" customHeight="true" outlineLevel="0" collapsed="false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customFormat="false" ht="12.75" hidden="false" customHeight="false" outlineLevel="0" collapsed="false">
      <c r="A317" s="20" t="s">
        <v>193</v>
      </c>
      <c r="C317" s="25" t="n">
        <v>0</v>
      </c>
      <c r="D317" s="21" t="n">
        <f aca="false">SUM(D312:D316)</f>
        <v>0</v>
      </c>
      <c r="E317" s="21" t="n">
        <f aca="false">SUM(E312:E316)</f>
        <v>0</v>
      </c>
      <c r="F317" s="21" t="n">
        <f aca="false">SUM(F312:F316)</f>
        <v>0</v>
      </c>
      <c r="G317" s="21" t="n">
        <f aca="false">SUM(G312:G316)</f>
        <v>0</v>
      </c>
      <c r="H317" s="21" t="n">
        <f aca="false">SUM(H312:H316)</f>
        <v>0</v>
      </c>
      <c r="I317" s="21" t="n">
        <f aca="false">SUM(I312:I316)</f>
        <v>0</v>
      </c>
      <c r="J317" s="21" t="n">
        <f aca="false">SUM(J312:J316)</f>
        <v>0</v>
      </c>
      <c r="K317" s="21" t="n">
        <f aca="false">SUM(K312:K316)</f>
        <v>3301</v>
      </c>
      <c r="L317" s="21" t="n">
        <f aca="false">SUM(L312:L316)</f>
        <v>5234</v>
      </c>
      <c r="M317" s="21" t="n">
        <f aca="false">SUM(M312:M316)</f>
        <v>1239</v>
      </c>
      <c r="N317" s="21" t="n">
        <f aca="false">SUM(N312:N316)</f>
        <v>-4702</v>
      </c>
      <c r="O317" s="21" t="n">
        <f aca="false">SUM(O312:O316)</f>
        <v>-6564</v>
      </c>
      <c r="P317" s="21"/>
    </row>
    <row r="318" customFormat="false" ht="3.95" hidden="false" customHeight="true" outlineLevel="0" collapsed="false"/>
    <row r="319" customFormat="false" ht="12.75" hidden="false" customHeight="false" outlineLevel="0" collapsed="false">
      <c r="A319" s="22" t="s">
        <v>30</v>
      </c>
      <c r="D319" s="21" t="n">
        <f aca="false">D317-C317</f>
        <v>0</v>
      </c>
      <c r="E319" s="21" t="n">
        <f aca="false">E317-D317</f>
        <v>0</v>
      </c>
      <c r="F319" s="21" t="n">
        <f aca="false">F317-E317</f>
        <v>0</v>
      </c>
      <c r="G319" s="21" t="n">
        <f aca="false">G317-F317</f>
        <v>0</v>
      </c>
      <c r="H319" s="21" t="n">
        <f aca="false">H317-G317</f>
        <v>0</v>
      </c>
      <c r="I319" s="21" t="n">
        <f aca="false">I317-H317</f>
        <v>0</v>
      </c>
      <c r="J319" s="21" t="n">
        <f aca="false">J317-I317</f>
        <v>0</v>
      </c>
      <c r="K319" s="21" t="n">
        <f aca="false">K317-J317</f>
        <v>3301</v>
      </c>
      <c r="L319" s="21" t="n">
        <f aca="false">L317-K317</f>
        <v>1933</v>
      </c>
      <c r="M319" s="21" t="n">
        <f aca="false">M317-L317</f>
        <v>-3995</v>
      </c>
      <c r="N319" s="21" t="n">
        <f aca="false">N317-M317</f>
        <v>-5941</v>
      </c>
      <c r="O319" s="21" t="n">
        <f aca="false">O317-N317</f>
        <v>-1862</v>
      </c>
      <c r="P319" s="21" t="n">
        <f aca="false">SUM(D319:O319)</f>
        <v>-6564</v>
      </c>
      <c r="Q319" s="21" t="n">
        <f aca="false">SUM(Q313:Q316)</f>
        <v>0</v>
      </c>
      <c r="R319" s="21" t="n">
        <f aca="false">P319-Q319</f>
        <v>-6564</v>
      </c>
    </row>
    <row r="321" customFormat="false" ht="12.75" hidden="false" customHeight="false" outlineLevel="0" collapsed="false">
      <c r="A321" s="20" t="s">
        <v>194</v>
      </c>
      <c r="D321" s="21" t="n">
        <f aca="false">C333</f>
        <v>0</v>
      </c>
      <c r="E321" s="21" t="n">
        <f aca="false">D333</f>
        <v>0</v>
      </c>
      <c r="F321" s="21" t="n">
        <f aca="false">E333</f>
        <v>0</v>
      </c>
      <c r="G321" s="21" t="n">
        <f aca="false">F333</f>
        <v>0</v>
      </c>
      <c r="H321" s="21" t="n">
        <f aca="false">G333</f>
        <v>0</v>
      </c>
      <c r="I321" s="21" t="n">
        <f aca="false">H333</f>
        <v>0</v>
      </c>
      <c r="J321" s="21" t="n">
        <f aca="false">I333</f>
        <v>100</v>
      </c>
      <c r="K321" s="21" t="n">
        <f aca="false">J333</f>
        <v>1308</v>
      </c>
      <c r="L321" s="21" t="n">
        <f aca="false">K333</f>
        <v>1308</v>
      </c>
      <c r="M321" s="21" t="n">
        <f aca="false">L333</f>
        <v>1308</v>
      </c>
      <c r="N321" s="21" t="n">
        <f aca="false">M333</f>
        <v>1308</v>
      </c>
      <c r="O321" s="21" t="n">
        <f aca="false">N333</f>
        <v>1308</v>
      </c>
    </row>
    <row r="322" customFormat="false" ht="12.75" hidden="false" customHeight="false" outlineLevel="0" collapsed="false">
      <c r="A322" s="22" t="s">
        <v>195</v>
      </c>
      <c r="C322" s="25" t="n">
        <v>0</v>
      </c>
      <c r="D322" s="25" t="n">
        <v>0</v>
      </c>
      <c r="E322" s="25" t="n">
        <v>0</v>
      </c>
      <c r="F322" s="25" t="n">
        <v>0</v>
      </c>
      <c r="G322" s="25" t="n">
        <v>0</v>
      </c>
      <c r="H322" s="25" t="n">
        <v>0</v>
      </c>
      <c r="I322" s="25" t="n">
        <v>100</v>
      </c>
      <c r="J322" s="25" t="n">
        <v>-10</v>
      </c>
      <c r="K322" s="25" t="n">
        <v>0</v>
      </c>
      <c r="L322" s="25" t="n">
        <v>0</v>
      </c>
      <c r="M322" s="25" t="n">
        <v>0</v>
      </c>
      <c r="N322" s="25" t="n">
        <v>0</v>
      </c>
      <c r="O322" s="25" t="n">
        <v>0</v>
      </c>
      <c r="P322" s="21" t="n">
        <f aca="false">SUM(D322:O322)</f>
        <v>90</v>
      </c>
      <c r="Q322" s="25" t="n">
        <f aca="false">SUM(D322:J322)</f>
        <v>90</v>
      </c>
      <c r="R322" s="21" t="n">
        <f aca="false">P322-Q322</f>
        <v>0</v>
      </c>
    </row>
    <row r="323" customFormat="false" ht="12.75" hidden="false" customHeight="false" outlineLevel="0" collapsed="false">
      <c r="A323" s="22" t="s">
        <v>196</v>
      </c>
      <c r="C323" s="25"/>
      <c r="D323" s="25" t="n">
        <v>0</v>
      </c>
      <c r="E323" s="25" t="n">
        <v>0</v>
      </c>
      <c r="F323" s="25" t="n">
        <v>0</v>
      </c>
      <c r="G323" s="25" t="n">
        <v>0</v>
      </c>
      <c r="H323" s="25" t="n">
        <v>0</v>
      </c>
      <c r="I323" s="25" t="n">
        <v>0</v>
      </c>
      <c r="J323" s="25" t="n">
        <v>1218</v>
      </c>
      <c r="K323" s="25" t="n">
        <v>0</v>
      </c>
      <c r="L323" s="25" t="n">
        <v>0</v>
      </c>
      <c r="M323" s="25" t="n">
        <v>0</v>
      </c>
      <c r="N323" s="25" t="n">
        <v>0</v>
      </c>
      <c r="O323" s="25" t="n">
        <v>0</v>
      </c>
      <c r="P323" s="21" t="n">
        <f aca="false">SUM(D323:O323)</f>
        <v>1218</v>
      </c>
      <c r="Q323" s="25" t="n">
        <f aca="false">SUM(D323:J323)</f>
        <v>1218</v>
      </c>
      <c r="R323" s="21" t="n">
        <f aca="false">P323-Q323</f>
        <v>0</v>
      </c>
    </row>
    <row r="324" customFormat="false" ht="12.75" hidden="false" customHeight="false" outlineLevel="0" collapsed="false">
      <c r="A324" s="22" t="s">
        <v>41</v>
      </c>
      <c r="C324" s="25"/>
      <c r="D324" s="25" t="n">
        <v>0</v>
      </c>
      <c r="E324" s="25" t="n">
        <v>0</v>
      </c>
      <c r="F324" s="25" t="n">
        <v>0</v>
      </c>
      <c r="G324" s="25" t="n">
        <v>0</v>
      </c>
      <c r="H324" s="25" t="n">
        <v>0</v>
      </c>
      <c r="I324" s="25" t="n">
        <v>0</v>
      </c>
      <c r="J324" s="25" t="n">
        <v>0</v>
      </c>
      <c r="K324" s="25" t="n">
        <v>0</v>
      </c>
      <c r="L324" s="25" t="n">
        <v>0</v>
      </c>
      <c r="M324" s="25" t="n">
        <v>0</v>
      </c>
      <c r="N324" s="25" t="n">
        <v>0</v>
      </c>
      <c r="O324" s="25" t="n">
        <v>0</v>
      </c>
      <c r="P324" s="21" t="n">
        <f aca="false">SUM(D324:O324)</f>
        <v>0</v>
      </c>
      <c r="Q324" s="25" t="n">
        <f aca="false">SUM(D324:J324)</f>
        <v>0</v>
      </c>
      <c r="R324" s="21" t="n">
        <f aca="false">P324-Q324</f>
        <v>0</v>
      </c>
    </row>
    <row r="325" customFormat="false" ht="12.75" hidden="false" customHeight="false" outlineLevel="0" collapsed="false">
      <c r="A325" s="22" t="s">
        <v>41</v>
      </c>
      <c r="B325" s="27"/>
      <c r="C325" s="25" t="n">
        <v>0</v>
      </c>
      <c r="D325" s="25" t="n">
        <v>0</v>
      </c>
      <c r="E325" s="25" t="n">
        <v>0</v>
      </c>
      <c r="F325" s="25" t="n">
        <v>0</v>
      </c>
      <c r="G325" s="25" t="n">
        <v>0</v>
      </c>
      <c r="H325" s="25" t="n">
        <v>0</v>
      </c>
      <c r="I325" s="25" t="n">
        <v>0</v>
      </c>
      <c r="J325" s="25" t="n">
        <v>0</v>
      </c>
      <c r="K325" s="25" t="n">
        <v>0</v>
      </c>
      <c r="L325" s="25" t="n">
        <v>0</v>
      </c>
      <c r="M325" s="25" t="n">
        <v>0</v>
      </c>
      <c r="N325" s="25" t="n">
        <v>0</v>
      </c>
      <c r="O325" s="25" t="n">
        <v>0</v>
      </c>
      <c r="P325" s="21" t="n">
        <f aca="false">SUM(D325:O325)</f>
        <v>0</v>
      </c>
      <c r="Q325" s="25" t="n">
        <f aca="false">SUM(D325:J325)</f>
        <v>0</v>
      </c>
      <c r="R325" s="21" t="n">
        <f aca="false">P325-Q325</f>
        <v>0</v>
      </c>
    </row>
    <row r="326" customFormat="false" ht="12.75" hidden="false" customHeight="false" outlineLevel="0" collapsed="false">
      <c r="A326" s="22" t="s">
        <v>41</v>
      </c>
      <c r="B326" s="27"/>
      <c r="C326" s="25" t="n">
        <v>0</v>
      </c>
      <c r="D326" s="25" t="n">
        <v>0</v>
      </c>
      <c r="E326" s="25" t="n">
        <v>0</v>
      </c>
      <c r="F326" s="25" t="n">
        <v>0</v>
      </c>
      <c r="G326" s="25" t="n">
        <v>0</v>
      </c>
      <c r="H326" s="25" t="n">
        <v>0</v>
      </c>
      <c r="I326" s="25" t="n">
        <v>0</v>
      </c>
      <c r="J326" s="25" t="n">
        <v>0</v>
      </c>
      <c r="K326" s="25" t="n">
        <v>0</v>
      </c>
      <c r="L326" s="25" t="n">
        <v>0</v>
      </c>
      <c r="M326" s="25" t="n">
        <v>0</v>
      </c>
      <c r="N326" s="25" t="n">
        <v>0</v>
      </c>
      <c r="O326" s="25" t="n">
        <v>0</v>
      </c>
      <c r="P326" s="21" t="n">
        <f aca="false">SUM(D326:O326)</f>
        <v>0</v>
      </c>
      <c r="Q326" s="25" t="n">
        <f aca="false">SUM(D326:J326)</f>
        <v>0</v>
      </c>
      <c r="R326" s="21" t="n">
        <f aca="false">P326-Q326</f>
        <v>0</v>
      </c>
    </row>
    <row r="327" customFormat="false" ht="12.75" hidden="false" customHeight="false" outlineLevel="0" collapsed="false">
      <c r="A327" s="22" t="s">
        <v>41</v>
      </c>
      <c r="C327" s="25" t="n">
        <v>0</v>
      </c>
      <c r="D327" s="25" t="n">
        <v>0</v>
      </c>
      <c r="E327" s="25" t="n">
        <v>0</v>
      </c>
      <c r="F327" s="25" t="n">
        <v>0</v>
      </c>
      <c r="G327" s="25" t="n">
        <v>0</v>
      </c>
      <c r="H327" s="25" t="n">
        <v>0</v>
      </c>
      <c r="I327" s="25" t="n">
        <v>0</v>
      </c>
      <c r="J327" s="25" t="n">
        <v>0</v>
      </c>
      <c r="K327" s="25" t="n">
        <v>0</v>
      </c>
      <c r="L327" s="25" t="n">
        <v>0</v>
      </c>
      <c r="M327" s="25" t="n">
        <v>0</v>
      </c>
      <c r="N327" s="25" t="n">
        <v>0</v>
      </c>
      <c r="O327" s="25" t="n">
        <v>0</v>
      </c>
      <c r="P327" s="21" t="n">
        <f aca="false">SUM(D327:O327)</f>
        <v>0</v>
      </c>
      <c r="Q327" s="25" t="n">
        <f aca="false">SUM(D327:J327)</f>
        <v>0</v>
      </c>
      <c r="R327" s="21" t="n">
        <f aca="false">P327-Q327</f>
        <v>0</v>
      </c>
    </row>
    <row r="328" customFormat="false" ht="12.75" hidden="false" customHeight="false" outlineLevel="0" collapsed="false">
      <c r="A328" s="22" t="s">
        <v>41</v>
      </c>
      <c r="C328" s="25"/>
      <c r="D328" s="25" t="n">
        <v>0</v>
      </c>
      <c r="E328" s="25" t="n">
        <v>0</v>
      </c>
      <c r="F328" s="25" t="n">
        <v>0</v>
      </c>
      <c r="G328" s="25" t="n">
        <v>0</v>
      </c>
      <c r="H328" s="25" t="n">
        <v>0</v>
      </c>
      <c r="I328" s="25" t="n">
        <v>0</v>
      </c>
      <c r="J328" s="25" t="n">
        <v>0</v>
      </c>
      <c r="K328" s="25" t="n">
        <v>0</v>
      </c>
      <c r="L328" s="25" t="n">
        <v>0</v>
      </c>
      <c r="M328" s="25" t="n">
        <v>0</v>
      </c>
      <c r="N328" s="25" t="n">
        <v>0</v>
      </c>
      <c r="O328" s="25" t="n">
        <v>0</v>
      </c>
      <c r="P328" s="21" t="n">
        <f aca="false">SUM(D328:O328)</f>
        <v>0</v>
      </c>
      <c r="Q328" s="25" t="n">
        <f aca="false">SUM(D328:J328)</f>
        <v>0</v>
      </c>
      <c r="R328" s="21" t="n">
        <f aca="false">P328-Q328</f>
        <v>0</v>
      </c>
    </row>
    <row r="329" customFormat="false" ht="12.75" hidden="false" customHeight="false" outlineLevel="0" collapsed="false">
      <c r="A329" s="22" t="s">
        <v>41</v>
      </c>
      <c r="C329" s="25"/>
      <c r="D329" s="25" t="n">
        <v>0</v>
      </c>
      <c r="E329" s="25" t="n">
        <v>0</v>
      </c>
      <c r="F329" s="25" t="n">
        <v>0</v>
      </c>
      <c r="G329" s="25" t="n">
        <v>0</v>
      </c>
      <c r="H329" s="25" t="n">
        <v>0</v>
      </c>
      <c r="I329" s="25" t="n">
        <v>0</v>
      </c>
      <c r="J329" s="25" t="n">
        <v>0</v>
      </c>
      <c r="K329" s="25" t="n">
        <v>0</v>
      </c>
      <c r="L329" s="25" t="n">
        <v>0</v>
      </c>
      <c r="M329" s="25" t="n">
        <v>0</v>
      </c>
      <c r="N329" s="25" t="n">
        <v>0</v>
      </c>
      <c r="O329" s="25" t="n">
        <v>0</v>
      </c>
      <c r="P329" s="21" t="n">
        <f aca="false">SUM(D329:O329)</f>
        <v>0</v>
      </c>
      <c r="Q329" s="25" t="n">
        <f aca="false">SUM(D329:J329)</f>
        <v>0</v>
      </c>
      <c r="R329" s="21" t="n">
        <f aca="false">P329-Q329</f>
        <v>0</v>
      </c>
    </row>
    <row r="330" customFormat="false" ht="12.75" hidden="false" customHeight="false" outlineLevel="0" collapsed="false">
      <c r="A330" s="22" t="s">
        <v>41</v>
      </c>
      <c r="C330" s="25" t="n">
        <v>0</v>
      </c>
      <c r="D330" s="25" t="n">
        <v>0</v>
      </c>
      <c r="E330" s="25" t="n">
        <v>0</v>
      </c>
      <c r="F330" s="25" t="n">
        <v>0</v>
      </c>
      <c r="G330" s="25" t="n">
        <v>0</v>
      </c>
      <c r="H330" s="25" t="n">
        <v>0</v>
      </c>
      <c r="I330" s="25" t="n">
        <v>0</v>
      </c>
      <c r="J330" s="25" t="n">
        <v>0</v>
      </c>
      <c r="K330" s="25" t="n">
        <v>0</v>
      </c>
      <c r="L330" s="25" t="n">
        <v>0</v>
      </c>
      <c r="M330" s="25" t="n">
        <v>0</v>
      </c>
      <c r="N330" s="25" t="n">
        <v>0</v>
      </c>
      <c r="O330" s="25" t="n">
        <v>0</v>
      </c>
      <c r="P330" s="21" t="n">
        <f aca="false">SUM(D330:O330)</f>
        <v>0</v>
      </c>
      <c r="Q330" s="25" t="n">
        <f aca="false">SUM(D330:J330)</f>
        <v>0</v>
      </c>
      <c r="R330" s="21" t="n">
        <f aca="false">P330-Q330</f>
        <v>0</v>
      </c>
    </row>
    <row r="331" customFormat="false" ht="12.75" hidden="false" customHeight="false" outlineLevel="0" collapsed="false">
      <c r="A331" s="22" t="s">
        <v>50</v>
      </c>
      <c r="C331" s="23" t="n">
        <v>0</v>
      </c>
      <c r="D331" s="23" t="n">
        <v>0</v>
      </c>
      <c r="E331" s="23" t="n">
        <v>0</v>
      </c>
      <c r="F331" s="23" t="n">
        <v>0</v>
      </c>
      <c r="G331" s="23" t="n">
        <v>0</v>
      </c>
      <c r="H331" s="23" t="n">
        <v>0</v>
      </c>
      <c r="I331" s="23" t="n">
        <v>0</v>
      </c>
      <c r="J331" s="23" t="n">
        <v>0</v>
      </c>
      <c r="K331" s="23" t="n">
        <v>0</v>
      </c>
      <c r="L331" s="23" t="n">
        <v>0</v>
      </c>
      <c r="M331" s="23" t="n">
        <v>0</v>
      </c>
      <c r="N331" s="23" t="n">
        <v>0</v>
      </c>
      <c r="O331" s="23" t="n">
        <v>0</v>
      </c>
      <c r="P331" s="24" t="n">
        <f aca="false">SUM(D331:O331)</f>
        <v>0</v>
      </c>
      <c r="Q331" s="23" t="n">
        <f aca="false">SUM(D331:J331)</f>
        <v>0</v>
      </c>
      <c r="R331" s="24" t="n">
        <f aca="false">P331-Q331</f>
        <v>0</v>
      </c>
    </row>
    <row r="332" customFormat="false" ht="3.95" hidden="false" customHeight="true" outlineLevel="0" collapsed="false"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customFormat="false" ht="12.75" hidden="false" customHeight="false" outlineLevel="0" collapsed="false">
      <c r="A333" s="20" t="s">
        <v>197</v>
      </c>
      <c r="C333" s="21" t="n">
        <f aca="false">SUM(C321:C332)</f>
        <v>0</v>
      </c>
      <c r="D333" s="21" t="n">
        <f aca="false">SUM(D321:D332)</f>
        <v>0</v>
      </c>
      <c r="E333" s="21" t="n">
        <f aca="false">SUM(E321:E332)</f>
        <v>0</v>
      </c>
      <c r="F333" s="21" t="n">
        <f aca="false">SUM(F321:F332)</f>
        <v>0</v>
      </c>
      <c r="G333" s="21" t="n">
        <f aca="false">SUM(G321:G332)</f>
        <v>0</v>
      </c>
      <c r="H333" s="21" t="n">
        <f aca="false">SUM(H321:H332)</f>
        <v>0</v>
      </c>
      <c r="I333" s="21" t="n">
        <f aca="false">SUM(I321:I332)</f>
        <v>100</v>
      </c>
      <c r="J333" s="21" t="n">
        <f aca="false">SUM(J321:J332)</f>
        <v>1308</v>
      </c>
      <c r="K333" s="21" t="n">
        <f aca="false">SUM(K321:K332)</f>
        <v>1308</v>
      </c>
      <c r="L333" s="21" t="n">
        <f aca="false">SUM(L321:L332)</f>
        <v>1308</v>
      </c>
      <c r="M333" s="21" t="n">
        <f aca="false">SUM(M321:M332)</f>
        <v>1308</v>
      </c>
      <c r="N333" s="21" t="n">
        <f aca="false">SUM(N321:N332)</f>
        <v>1308</v>
      </c>
      <c r="O333" s="21" t="n">
        <f aca="false">SUM(O321:O332)</f>
        <v>1308</v>
      </c>
    </row>
    <row r="334" customFormat="false" ht="3.95" hidden="false" customHeight="true" outlineLevel="0" collapsed="false"/>
    <row r="335" customFormat="false" ht="12.75" hidden="false" customHeight="false" outlineLevel="0" collapsed="false">
      <c r="A335" s="22" t="s">
        <v>30</v>
      </c>
      <c r="D335" s="21" t="n">
        <f aca="false">D333-C333</f>
        <v>0</v>
      </c>
      <c r="E335" s="21" t="n">
        <f aca="false">E333-D333</f>
        <v>0</v>
      </c>
      <c r="F335" s="21" t="n">
        <f aca="false">F333-E333</f>
        <v>0</v>
      </c>
      <c r="G335" s="21" t="n">
        <f aca="false">G333-F333</f>
        <v>0</v>
      </c>
      <c r="H335" s="21" t="n">
        <f aca="false">H333-G333</f>
        <v>0</v>
      </c>
      <c r="I335" s="21" t="n">
        <f aca="false">I333-H333</f>
        <v>100</v>
      </c>
      <c r="J335" s="21" t="n">
        <f aca="false">J333-I333</f>
        <v>1208</v>
      </c>
      <c r="K335" s="21" t="n">
        <f aca="false">K333-J333</f>
        <v>0</v>
      </c>
      <c r="L335" s="21" t="n">
        <f aca="false">L333-K333</f>
        <v>0</v>
      </c>
      <c r="M335" s="21" t="n">
        <f aca="false">M333-L333</f>
        <v>0</v>
      </c>
      <c r="N335" s="21" t="n">
        <f aca="false">N333-M333</f>
        <v>0</v>
      </c>
      <c r="O335" s="21" t="n">
        <f aca="false">O333-N333</f>
        <v>0</v>
      </c>
      <c r="P335" s="21" t="n">
        <f aca="false">SUM(D335:O335)</f>
        <v>1308</v>
      </c>
      <c r="Q335" s="21" t="n">
        <f aca="false">SUM(Q322:Q332)</f>
        <v>1308</v>
      </c>
      <c r="R335" s="21" t="n">
        <f aca="false">P335-Q335</f>
        <v>0</v>
      </c>
    </row>
    <row r="337" customFormat="false" ht="8.1" hidden="false" customHeight="true" outlineLevel="0" collapsed="false"/>
    <row r="338" customFormat="false" ht="12.75" hidden="false" customHeight="false" outlineLevel="0" collapsed="false">
      <c r="A338" s="20" t="s">
        <v>198</v>
      </c>
      <c r="D338" s="21" t="n">
        <f aca="false">C341</f>
        <v>69748</v>
      </c>
      <c r="E338" s="21" t="n">
        <f aca="false">D341</f>
        <v>102092</v>
      </c>
      <c r="F338" s="21" t="n">
        <f aca="false">E341</f>
        <v>87633</v>
      </c>
      <c r="G338" s="21" t="n">
        <f aca="false">F341</f>
        <v>72753</v>
      </c>
      <c r="H338" s="21" t="n">
        <f aca="false">G341</f>
        <v>75153</v>
      </c>
      <c r="I338" s="21" t="n">
        <f aca="false">H341</f>
        <v>66180</v>
      </c>
      <c r="J338" s="21" t="n">
        <f aca="false">I341</f>
        <v>67260</v>
      </c>
      <c r="K338" s="21" t="n">
        <f aca="false">J341</f>
        <v>45493</v>
      </c>
      <c r="L338" s="21" t="n">
        <f aca="false">K341</f>
        <v>45493</v>
      </c>
      <c r="M338" s="21" t="n">
        <f aca="false">L341</f>
        <v>45493</v>
      </c>
      <c r="N338" s="21" t="n">
        <f aca="false">M341</f>
        <v>45493</v>
      </c>
      <c r="O338" s="21" t="n">
        <f aca="false">N341</f>
        <v>45493</v>
      </c>
      <c r="P338" s="21"/>
    </row>
    <row r="339" customFormat="false" ht="12.75" hidden="false" customHeight="false" outlineLevel="0" collapsed="false">
      <c r="A339" s="22" t="s">
        <v>50</v>
      </c>
      <c r="C339" s="23" t="n">
        <v>0</v>
      </c>
      <c r="D339" s="23" t="n">
        <v>32344</v>
      </c>
      <c r="E339" s="23" t="n">
        <v>-14459</v>
      </c>
      <c r="F339" s="23" t="n">
        <v>-14880</v>
      </c>
      <c r="G339" s="23" t="n">
        <v>2400</v>
      </c>
      <c r="H339" s="23" t="n">
        <v>-8973</v>
      </c>
      <c r="I339" s="23" t="n">
        <v>1080</v>
      </c>
      <c r="J339" s="23" t="n">
        <v>-21767</v>
      </c>
      <c r="K339" s="23" t="n">
        <v>0</v>
      </c>
      <c r="L339" s="23" t="n">
        <v>0</v>
      </c>
      <c r="M339" s="23" t="n">
        <v>0</v>
      </c>
      <c r="N339" s="23" t="n">
        <v>0</v>
      </c>
      <c r="O339" s="23" t="n">
        <v>0</v>
      </c>
      <c r="P339" s="24" t="n">
        <f aca="false">SUM(D339:O339)</f>
        <v>-24255</v>
      </c>
      <c r="Q339" s="23" t="n">
        <f aca="false">SUM(D339:J339)</f>
        <v>-24255</v>
      </c>
      <c r="R339" s="24" t="n">
        <f aca="false">P339-Q339</f>
        <v>0</v>
      </c>
    </row>
    <row r="340" customFormat="false" ht="3.95" hidden="false" customHeight="true" outlineLevel="0" collapsed="false"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customFormat="false" ht="12.75" hidden="false" customHeight="false" outlineLevel="0" collapsed="false">
      <c r="A341" s="20" t="s">
        <v>199</v>
      </c>
      <c r="C341" s="25" t="n">
        <v>69748</v>
      </c>
      <c r="D341" s="21" t="n">
        <f aca="false">D338+D339</f>
        <v>102092</v>
      </c>
      <c r="E341" s="21" t="n">
        <f aca="false">E338+E339</f>
        <v>87633</v>
      </c>
      <c r="F341" s="21" t="n">
        <f aca="false">F338+F339</f>
        <v>72753</v>
      </c>
      <c r="G341" s="21" t="n">
        <f aca="false">G338+G339</f>
        <v>75153</v>
      </c>
      <c r="H341" s="21" t="n">
        <f aca="false">H338+H339</f>
        <v>66180</v>
      </c>
      <c r="I341" s="21" t="n">
        <f aca="false">I338+I339</f>
        <v>67260</v>
      </c>
      <c r="J341" s="21" t="n">
        <f aca="false">J338+J339</f>
        <v>45493</v>
      </c>
      <c r="K341" s="21" t="n">
        <f aca="false">K338+K339</f>
        <v>45493</v>
      </c>
      <c r="L341" s="21" t="n">
        <f aca="false">L338+L339</f>
        <v>45493</v>
      </c>
      <c r="M341" s="21" t="n">
        <f aca="false">M338+M339</f>
        <v>45493</v>
      </c>
      <c r="N341" s="21" t="n">
        <f aca="false">N338+N339</f>
        <v>45493</v>
      </c>
      <c r="O341" s="21" t="n">
        <f aca="false">O338+O339</f>
        <v>45493</v>
      </c>
      <c r="P341" s="21"/>
    </row>
    <row r="342" customFormat="false" ht="3.95" hidden="false" customHeight="true" outlineLevel="0" collapsed="false"/>
    <row r="343" customFormat="false" ht="12.75" hidden="false" customHeight="false" outlineLevel="0" collapsed="false">
      <c r="A343" s="22" t="s">
        <v>30</v>
      </c>
      <c r="D343" s="21" t="n">
        <f aca="false">D341-C341</f>
        <v>32344</v>
      </c>
      <c r="E343" s="21" t="n">
        <f aca="false">E341-D341</f>
        <v>-14459</v>
      </c>
      <c r="F343" s="21" t="n">
        <f aca="false">F341-E341</f>
        <v>-14880</v>
      </c>
      <c r="G343" s="21" t="n">
        <f aca="false">G341-F341</f>
        <v>2400</v>
      </c>
      <c r="H343" s="21" t="n">
        <f aca="false">H341-G341</f>
        <v>-8973</v>
      </c>
      <c r="I343" s="21" t="n">
        <f aca="false">I341-H341</f>
        <v>1080</v>
      </c>
      <c r="J343" s="21" t="n">
        <f aca="false">J341-I341</f>
        <v>-21767</v>
      </c>
      <c r="K343" s="21" t="n">
        <f aca="false">K341-J341</f>
        <v>0</v>
      </c>
      <c r="L343" s="21" t="n">
        <f aca="false">L341-K341</f>
        <v>0</v>
      </c>
      <c r="M343" s="21" t="n">
        <f aca="false">M341-L341</f>
        <v>0</v>
      </c>
      <c r="N343" s="21" t="n">
        <f aca="false">N341-M341</f>
        <v>0</v>
      </c>
      <c r="O343" s="21" t="n">
        <f aca="false">O341-N341</f>
        <v>0</v>
      </c>
      <c r="P343" s="21" t="n">
        <f aca="false">SUM(D343:O343)</f>
        <v>-24255</v>
      </c>
      <c r="Q343" s="21" t="n">
        <f aca="false">Q339</f>
        <v>-24255</v>
      </c>
      <c r="R343" s="21" t="n">
        <f aca="false">P343-Q343</f>
        <v>0</v>
      </c>
    </row>
    <row r="346" customFormat="false" ht="12.75" hidden="false" customHeight="false" outlineLevel="0" collapsed="false">
      <c r="A346" s="20" t="s">
        <v>200</v>
      </c>
    </row>
    <row r="347" customFormat="false" ht="12.75" hidden="false" customHeight="false" outlineLevel="0" collapsed="false">
      <c r="A347" s="22" t="s">
        <v>201</v>
      </c>
      <c r="B347" s="27" t="s">
        <v>34</v>
      </c>
      <c r="C347" s="21"/>
      <c r="D347" s="21" t="n">
        <f aca="false">[1]Source!D41</f>
        <v>2907</v>
      </c>
      <c r="E347" s="21" t="n">
        <f aca="false">[1]Source!E41</f>
        <v>3202</v>
      </c>
      <c r="F347" s="21" t="n">
        <f aca="false">[1]Source!F41</f>
        <v>2707</v>
      </c>
      <c r="G347" s="21" t="n">
        <f aca="false">[1]Source!G41</f>
        <v>2710</v>
      </c>
      <c r="H347" s="21" t="n">
        <f aca="false">[1]Source!H41</f>
        <v>2704</v>
      </c>
      <c r="I347" s="21" t="n">
        <f aca="false">[1]Source!I41</f>
        <v>2721</v>
      </c>
      <c r="J347" s="21" t="n">
        <f aca="false">[1]Source!J41</f>
        <v>2674</v>
      </c>
      <c r="K347" s="21" t="n">
        <f aca="false">[1]Source!K41</f>
        <v>2686</v>
      </c>
      <c r="L347" s="21" t="n">
        <f aca="false">[1]Source!L41</f>
        <v>2645</v>
      </c>
      <c r="M347" s="21" t="n">
        <f aca="false">[1]Source!M41</f>
        <v>2640</v>
      </c>
      <c r="N347" s="21" t="n">
        <f aca="false">[1]Source!N41</f>
        <v>2640</v>
      </c>
      <c r="O347" s="21" t="n">
        <f aca="false">[1]Source!O41</f>
        <v>2752</v>
      </c>
      <c r="P347" s="21" t="n">
        <f aca="false">SUM(D347:O347)</f>
        <v>32988</v>
      </c>
      <c r="Q347" s="25" t="n">
        <f aca="false">SUM(D347:J347)</f>
        <v>19625</v>
      </c>
      <c r="R347" s="21" t="n">
        <f aca="false">P347-Q347</f>
        <v>13363</v>
      </c>
    </row>
    <row r="348" customFormat="false" ht="12.75" hidden="false" customHeight="false" outlineLevel="0" collapsed="false">
      <c r="A348" s="22" t="s">
        <v>202</v>
      </c>
      <c r="C348" s="21"/>
      <c r="D348" s="25" t="n">
        <v>-1332</v>
      </c>
      <c r="E348" s="25" t="n">
        <v>-146</v>
      </c>
      <c r="F348" s="25" t="n">
        <v>-3282</v>
      </c>
      <c r="G348" s="25" t="n">
        <v>-525</v>
      </c>
      <c r="H348" s="25" t="n">
        <v>-5921</v>
      </c>
      <c r="I348" s="25" t="n">
        <v>-4418</v>
      </c>
      <c r="J348" s="25" t="n">
        <v>-81</v>
      </c>
      <c r="K348" s="25" t="n">
        <v>-528</v>
      </c>
      <c r="L348" s="25" t="n">
        <v>-2657</v>
      </c>
      <c r="M348" s="25" t="n">
        <v>-2065</v>
      </c>
      <c r="N348" s="25" t="n">
        <v>-415</v>
      </c>
      <c r="O348" s="25" t="n">
        <v>-4928</v>
      </c>
      <c r="P348" s="21" t="n">
        <f aca="false">SUM(D348:O348)</f>
        <v>-26298</v>
      </c>
      <c r="Q348" s="25" t="n">
        <f aca="false">SUM(D348:J348)</f>
        <v>-15705</v>
      </c>
      <c r="R348" s="21" t="n">
        <f aca="false">P348-Q348</f>
        <v>-10593</v>
      </c>
    </row>
    <row r="349" customFormat="false" ht="12.75" hidden="false" customHeight="false" outlineLevel="0" collapsed="false">
      <c r="A349" s="22" t="s">
        <v>203</v>
      </c>
      <c r="C349" s="21"/>
      <c r="D349" s="25" t="n">
        <v>0</v>
      </c>
      <c r="E349" s="25" t="n">
        <v>0</v>
      </c>
      <c r="F349" s="25" t="n">
        <v>0</v>
      </c>
      <c r="G349" s="25" t="n">
        <v>0</v>
      </c>
      <c r="H349" s="25" t="n">
        <v>0</v>
      </c>
      <c r="I349" s="25" t="n">
        <v>0</v>
      </c>
      <c r="J349" s="25" t="n">
        <v>0</v>
      </c>
      <c r="K349" s="25" t="n">
        <v>0</v>
      </c>
      <c r="L349" s="25" t="n">
        <v>-200</v>
      </c>
      <c r="M349" s="25" t="n">
        <v>0</v>
      </c>
      <c r="N349" s="25" t="n">
        <v>0</v>
      </c>
      <c r="O349" s="25" t="n">
        <v>-200</v>
      </c>
      <c r="P349" s="21" t="n">
        <f aca="false">SUM(D349:O349)</f>
        <v>-400</v>
      </c>
      <c r="Q349" s="25" t="n">
        <f aca="false">SUM(D349:J349)</f>
        <v>0</v>
      </c>
      <c r="R349" s="21" t="n">
        <f aca="false">P349-Q349</f>
        <v>-400</v>
      </c>
    </row>
    <row r="350" customFormat="false" ht="12.75" hidden="false" customHeight="false" outlineLevel="0" collapsed="false">
      <c r="A350" s="22" t="s">
        <v>204</v>
      </c>
      <c r="B350" s="27" t="s">
        <v>34</v>
      </c>
      <c r="C350" s="21"/>
      <c r="D350" s="24" t="n">
        <f aca="false">[1]Source!D40</f>
        <v>-544</v>
      </c>
      <c r="E350" s="24" t="n">
        <f aca="false">[1]Source!E40</f>
        <v>-852</v>
      </c>
      <c r="F350" s="24" t="n">
        <f aca="false">[1]Source!F40</f>
        <v>-415</v>
      </c>
      <c r="G350" s="24" t="n">
        <f aca="false">[1]Source!G40</f>
        <v>-397</v>
      </c>
      <c r="H350" s="24" t="n">
        <f aca="false">[1]Source!H40</f>
        <v>-406</v>
      </c>
      <c r="I350" s="24" t="n">
        <f aca="false">[1]Source!I40</f>
        <v>-409</v>
      </c>
      <c r="J350" s="24" t="n">
        <f aca="false">[1]Source!J40</f>
        <v>-385</v>
      </c>
      <c r="K350" s="24" t="n">
        <f aca="false">[1]Source!K40</f>
        <v>-377</v>
      </c>
      <c r="L350" s="24" t="n">
        <f aca="false">[1]Source!L40</f>
        <v>-346</v>
      </c>
      <c r="M350" s="24" t="n">
        <f aca="false">[1]Source!M40</f>
        <v>-341</v>
      </c>
      <c r="N350" s="24" t="n">
        <f aca="false">[1]Source!N40</f>
        <v>-341</v>
      </c>
      <c r="O350" s="24" t="n">
        <f aca="false">[1]Source!O40</f>
        <v>-453</v>
      </c>
      <c r="P350" s="24" t="n">
        <f aca="false">SUM(D350:O350)</f>
        <v>-5266</v>
      </c>
      <c r="Q350" s="23" t="n">
        <f aca="false">SUM(D350:J350)</f>
        <v>-3408</v>
      </c>
      <c r="R350" s="24" t="n">
        <f aca="false">P350-Q350</f>
        <v>-1858</v>
      </c>
    </row>
    <row r="351" customFormat="false" ht="3.95" hidden="false" customHeight="true" outlineLevel="0" collapsed="false"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customFormat="false" ht="12.75" hidden="false" customHeight="false" outlineLevel="0" collapsed="false">
      <c r="A352" s="22" t="s">
        <v>205</v>
      </c>
      <c r="C352" s="21"/>
      <c r="D352" s="24" t="n">
        <f aca="false">SUM(D347:D351)</f>
        <v>1031</v>
      </c>
      <c r="E352" s="24" t="n">
        <f aca="false">SUM(E347:E351)</f>
        <v>2204</v>
      </c>
      <c r="F352" s="24" t="n">
        <f aca="false">SUM(F347:F351)</f>
        <v>-990</v>
      </c>
      <c r="G352" s="24" t="n">
        <f aca="false">SUM(G347:G351)</f>
        <v>1788</v>
      </c>
      <c r="H352" s="24" t="n">
        <f aca="false">SUM(H347:H351)</f>
        <v>-3623</v>
      </c>
      <c r="I352" s="24" t="n">
        <f aca="false">SUM(I347:I351)</f>
        <v>-2106</v>
      </c>
      <c r="J352" s="24" t="n">
        <f aca="false">SUM(J347:J351)</f>
        <v>2208</v>
      </c>
      <c r="K352" s="24" t="n">
        <f aca="false">SUM(K347:K351)</f>
        <v>1781</v>
      </c>
      <c r="L352" s="24" t="n">
        <f aca="false">SUM(L347:L351)</f>
        <v>-558</v>
      </c>
      <c r="M352" s="24" t="n">
        <f aca="false">SUM(M347:M351)</f>
        <v>234</v>
      </c>
      <c r="N352" s="24" t="n">
        <f aca="false">SUM(N347:N351)</f>
        <v>1884</v>
      </c>
      <c r="O352" s="24" t="n">
        <f aca="false">SUM(O347:O351)</f>
        <v>-2829</v>
      </c>
      <c r="P352" s="24" t="n">
        <f aca="false">SUM(P347:P351)</f>
        <v>1024</v>
      </c>
      <c r="Q352" s="24" t="n">
        <f aca="false">SUM(Q347:Q351)</f>
        <v>512</v>
      </c>
      <c r="R352" s="24" t="n">
        <f aca="false">P352-Q352</f>
        <v>512</v>
      </c>
    </row>
    <row r="353" customFormat="false" ht="6" hidden="false" customHeight="true" outlineLevel="0" collapsed="false"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</row>
    <row r="354" customFormat="false" ht="12.75" hidden="false" customHeight="false" outlineLevel="0" collapsed="false">
      <c r="A354" s="22" t="s">
        <v>206</v>
      </c>
      <c r="B354" s="27" t="s">
        <v>34</v>
      </c>
      <c r="C354" s="21"/>
      <c r="D354" s="24" t="n">
        <f aca="false">[1]Source!D55</f>
        <v>12782</v>
      </c>
      <c r="E354" s="24" t="n">
        <f aca="false">[1]Source!E55</f>
        <v>12247</v>
      </c>
      <c r="F354" s="24" t="n">
        <f aca="false">[1]Source!F55</f>
        <v>11540</v>
      </c>
      <c r="G354" s="24" t="n">
        <f aca="false">[1]Source!G55</f>
        <v>1935</v>
      </c>
      <c r="H354" s="24" t="n">
        <f aca="false">[1]Source!H55</f>
        <v>649</v>
      </c>
      <c r="I354" s="24" t="n">
        <f aca="false">[1]Source!I55</f>
        <v>2005</v>
      </c>
      <c r="J354" s="24" t="n">
        <f aca="false">[1]Source!J55</f>
        <v>938</v>
      </c>
      <c r="K354" s="24" t="n">
        <f aca="false">[1]Source!K55</f>
        <v>1611</v>
      </c>
      <c r="L354" s="24" t="n">
        <f aca="false">[1]Source!L55</f>
        <v>435</v>
      </c>
      <c r="M354" s="24" t="n">
        <f aca="false">[1]Source!M55</f>
        <v>-761</v>
      </c>
      <c r="N354" s="24" t="n">
        <f aca="false">[1]Source!N55</f>
        <v>10677</v>
      </c>
      <c r="O354" s="24" t="n">
        <f aca="false">[1]Source!O55</f>
        <v>10940</v>
      </c>
      <c r="P354" s="24" t="n">
        <f aca="false">SUM(D354:O354)</f>
        <v>64998</v>
      </c>
      <c r="Q354" s="23" t="n">
        <f aca="false">SUM(D354:J354)</f>
        <v>42096</v>
      </c>
      <c r="R354" s="24" t="n">
        <f aca="false">P354-Q354</f>
        <v>22902</v>
      </c>
    </row>
    <row r="355" customFormat="false" ht="6" hidden="false" customHeight="true" outlineLevel="0" collapsed="false"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</row>
    <row r="356" customFormat="false" ht="12.75" hidden="false" customHeight="false" outlineLevel="0" collapsed="false">
      <c r="A356" s="22" t="s">
        <v>207</v>
      </c>
      <c r="B356" s="27" t="s">
        <v>34</v>
      </c>
      <c r="C356" s="21"/>
      <c r="D356" s="21" t="n">
        <f aca="false">-[1]Source!D51</f>
        <v>9422</v>
      </c>
      <c r="E356" s="21" t="n">
        <f aca="false">-[1]Source!E51</f>
        <v>11999</v>
      </c>
      <c r="F356" s="21" t="n">
        <f aca="false">-[1]Source!F51</f>
        <v>12591</v>
      </c>
      <c r="G356" s="21" t="n">
        <f aca="false">-[1]Source!G51</f>
        <v>-21503</v>
      </c>
      <c r="H356" s="21" t="n">
        <f aca="false">-[1]Source!H51</f>
        <v>-1023</v>
      </c>
      <c r="I356" s="21" t="n">
        <f aca="false">-[1]Source!I51</f>
        <v>5003</v>
      </c>
      <c r="J356" s="21" t="n">
        <f aca="false">-[1]Source!J51</f>
        <v>-131</v>
      </c>
      <c r="K356" s="21" t="n">
        <f aca="false">-[1]Source!K51</f>
        <v>-1827</v>
      </c>
      <c r="L356" s="21" t="n">
        <f aca="false">-[1]Source!L51</f>
        <v>-1869</v>
      </c>
      <c r="M356" s="21" t="n">
        <f aca="false">-[1]Source!M51</f>
        <v>10912</v>
      </c>
      <c r="N356" s="21" t="n">
        <f aca="false">-[1]Source!N51</f>
        <v>11850</v>
      </c>
      <c r="O356" s="21" t="n">
        <f aca="false">-[1]Source!O51</f>
        <v>10262</v>
      </c>
      <c r="P356" s="21" t="n">
        <f aca="false">SUM(D356:O356)</f>
        <v>45686</v>
      </c>
      <c r="Q356" s="25" t="n">
        <f aca="false">SUM(D356:J356)</f>
        <v>16358</v>
      </c>
      <c r="R356" s="21" t="n">
        <f aca="false">P356-Q356</f>
        <v>29328</v>
      </c>
    </row>
    <row r="357" customFormat="false" ht="12.75" hidden="false" customHeight="false" outlineLevel="0" collapsed="false">
      <c r="A357" s="22" t="s">
        <v>208</v>
      </c>
      <c r="C357" s="21"/>
      <c r="D357" s="43" t="n">
        <f aca="false">-9181-268</f>
        <v>-9449</v>
      </c>
      <c r="E357" s="43" t="n">
        <f aca="false">-11806-200</f>
        <v>-12006</v>
      </c>
      <c r="F357" s="43" t="n">
        <f aca="false">-12396-194</f>
        <v>-12590</v>
      </c>
      <c r="G357" s="43" t="n">
        <f aca="false">21771-534</f>
        <v>21237</v>
      </c>
      <c r="H357" s="43" t="n">
        <f aca="false">1114-195</f>
        <v>919</v>
      </c>
      <c r="I357" s="44" t="n">
        <f aca="false">(6273-11120)-237</f>
        <v>-5084</v>
      </c>
      <c r="J357" s="44" t="n">
        <f aca="false">(-10864+11120)-202</f>
        <v>54</v>
      </c>
      <c r="K357" s="24" t="n">
        <f aca="false">-K356</f>
        <v>1827</v>
      </c>
      <c r="L357" s="24" t="n">
        <f aca="false">-L356</f>
        <v>1869</v>
      </c>
      <c r="M357" s="24" t="n">
        <f aca="false">-M356</f>
        <v>-10912</v>
      </c>
      <c r="N357" s="24" t="n">
        <f aca="false">-N356</f>
        <v>-11850</v>
      </c>
      <c r="O357" s="24" t="n">
        <f aca="false">-O356</f>
        <v>-10262</v>
      </c>
      <c r="P357" s="24" t="n">
        <f aca="false">SUM(D357:O357)</f>
        <v>-46247</v>
      </c>
      <c r="Q357" s="23" t="n">
        <f aca="false">SUM(D357:J357)</f>
        <v>-16919</v>
      </c>
      <c r="R357" s="24" t="n">
        <f aca="false">P357-Q357</f>
        <v>-29328</v>
      </c>
    </row>
    <row r="358" customFormat="false" ht="3.95" hidden="false" customHeight="true" outlineLevel="0" collapsed="false"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customFormat="false" ht="12.75" hidden="false" customHeight="false" outlineLevel="0" collapsed="false">
      <c r="A359" s="22" t="s">
        <v>209</v>
      </c>
      <c r="C359" s="21"/>
      <c r="D359" s="21" t="n">
        <f aca="false">D356+D357</f>
        <v>-27</v>
      </c>
      <c r="E359" s="21" t="n">
        <f aca="false">E356+E357</f>
        <v>-7</v>
      </c>
      <c r="F359" s="21" t="n">
        <f aca="false">F356+F357</f>
        <v>1</v>
      </c>
      <c r="G359" s="21" t="n">
        <f aca="false">G356+G357</f>
        <v>-266</v>
      </c>
      <c r="H359" s="21" t="n">
        <f aca="false">H356+H357</f>
        <v>-104</v>
      </c>
      <c r="I359" s="21" t="n">
        <f aca="false">I356+I357</f>
        <v>-81</v>
      </c>
      <c r="J359" s="21" t="n">
        <f aca="false">J356+J357</f>
        <v>-77</v>
      </c>
      <c r="K359" s="21" t="n">
        <f aca="false">K356+K357</f>
        <v>0</v>
      </c>
      <c r="L359" s="21" t="n">
        <f aca="false">L356+L357</f>
        <v>0</v>
      </c>
      <c r="M359" s="21" t="n">
        <f aca="false">M356+M357</f>
        <v>0</v>
      </c>
      <c r="N359" s="21" t="n">
        <f aca="false">N356+N357</f>
        <v>0</v>
      </c>
      <c r="O359" s="21" t="n">
        <f aca="false">O356+O357</f>
        <v>0</v>
      </c>
      <c r="P359" s="21" t="n">
        <f aca="false">P356+P357</f>
        <v>-561</v>
      </c>
      <c r="Q359" s="21" t="n">
        <f aca="false">Q356+Q357</f>
        <v>-561</v>
      </c>
      <c r="R359" s="21" t="n">
        <f aca="false">P359-Q359</f>
        <v>0</v>
      </c>
    </row>
    <row r="360" customFormat="false" ht="12.75" hidden="false" customHeight="false" outlineLevel="0" collapsed="false">
      <c r="A360" s="22" t="s">
        <v>205</v>
      </c>
      <c r="C360" s="21"/>
      <c r="D360" s="24" t="n">
        <f aca="false">D352</f>
        <v>1031</v>
      </c>
      <c r="E360" s="24" t="n">
        <f aca="false">E352</f>
        <v>2204</v>
      </c>
      <c r="F360" s="24" t="n">
        <f aca="false">F352</f>
        <v>-990</v>
      </c>
      <c r="G360" s="24" t="n">
        <f aca="false">G352</f>
        <v>1788</v>
      </c>
      <c r="H360" s="24" t="n">
        <f aca="false">H352</f>
        <v>-3623</v>
      </c>
      <c r="I360" s="24" t="n">
        <f aca="false">I352</f>
        <v>-2106</v>
      </c>
      <c r="J360" s="24" t="n">
        <f aca="false">J352</f>
        <v>2208</v>
      </c>
      <c r="K360" s="24" t="n">
        <f aca="false">K352</f>
        <v>1781</v>
      </c>
      <c r="L360" s="24" t="n">
        <f aca="false">L352</f>
        <v>-558</v>
      </c>
      <c r="M360" s="24" t="n">
        <f aca="false">M352</f>
        <v>234</v>
      </c>
      <c r="N360" s="24" t="n">
        <f aca="false">N352</f>
        <v>1884</v>
      </c>
      <c r="O360" s="24" t="n">
        <f aca="false">O352</f>
        <v>-2829</v>
      </c>
      <c r="P360" s="24" t="n">
        <f aca="false">P352</f>
        <v>1024</v>
      </c>
      <c r="Q360" s="24" t="n">
        <f aca="false">Q352</f>
        <v>512</v>
      </c>
      <c r="R360" s="24" t="n">
        <f aca="false">P360-Q360</f>
        <v>512</v>
      </c>
    </row>
    <row r="361" customFormat="false" ht="3.95" hidden="false" customHeight="true" outlineLevel="0" collapsed="false"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customFormat="false" ht="12.75" hidden="false" customHeight="false" outlineLevel="0" collapsed="false">
      <c r="A362" s="22" t="s">
        <v>210</v>
      </c>
      <c r="C362" s="21"/>
      <c r="D362" s="21" t="n">
        <f aca="false">D359+D360</f>
        <v>1004</v>
      </c>
      <c r="E362" s="21" t="n">
        <f aca="false">E359+E360</f>
        <v>2197</v>
      </c>
      <c r="F362" s="21" t="n">
        <f aca="false">F359+F360</f>
        <v>-989</v>
      </c>
      <c r="G362" s="21" t="n">
        <f aca="false">G359+G360</f>
        <v>1522</v>
      </c>
      <c r="H362" s="21" t="n">
        <f aca="false">H359+H360</f>
        <v>-3727</v>
      </c>
      <c r="I362" s="21" t="n">
        <f aca="false">I359+I360</f>
        <v>-2187</v>
      </c>
      <c r="J362" s="21" t="n">
        <f aca="false">J359+J360</f>
        <v>2131</v>
      </c>
      <c r="K362" s="21" t="n">
        <f aca="false">K359+K360</f>
        <v>1781</v>
      </c>
      <c r="L362" s="21" t="n">
        <f aca="false">L359+L360</f>
        <v>-558</v>
      </c>
      <c r="M362" s="21" t="n">
        <f aca="false">M359+M360</f>
        <v>234</v>
      </c>
      <c r="N362" s="21" t="n">
        <f aca="false">N359+N360</f>
        <v>1884</v>
      </c>
      <c r="O362" s="21" t="n">
        <f aca="false">O359+O360</f>
        <v>-2829</v>
      </c>
      <c r="P362" s="21" t="n">
        <f aca="false">P359+P360</f>
        <v>463</v>
      </c>
      <c r="Q362" s="21" t="n">
        <f aca="false">Q359+Q360</f>
        <v>-49</v>
      </c>
      <c r="R362" s="21" t="n">
        <f aca="false">P362-Q362</f>
        <v>512</v>
      </c>
    </row>
    <row r="363" customFormat="false" ht="12.75" hidden="false" customHeight="false" outlineLevel="0" collapsed="false">
      <c r="A363" s="22" t="s">
        <v>211</v>
      </c>
      <c r="C363" s="21"/>
      <c r="D363" s="21" t="n">
        <f aca="false">C366</f>
        <v>25457</v>
      </c>
      <c r="E363" s="21" t="n">
        <f aca="false">D366</f>
        <v>24562</v>
      </c>
      <c r="F363" s="21" t="n">
        <f aca="false">E366</f>
        <v>28662</v>
      </c>
      <c r="G363" s="21" t="n">
        <f aca="false">F366</f>
        <v>27244</v>
      </c>
      <c r="H363" s="21" t="n">
        <f aca="false">G366</f>
        <v>28999</v>
      </c>
      <c r="I363" s="21" t="n">
        <f aca="false">H366</f>
        <v>25378</v>
      </c>
      <c r="J363" s="21" t="n">
        <f aca="false">I366</f>
        <v>23505</v>
      </c>
      <c r="K363" s="21" t="n">
        <f aca="false">J366</f>
        <v>25898</v>
      </c>
      <c r="L363" s="21" t="n">
        <f aca="false">K366</f>
        <v>27679</v>
      </c>
      <c r="M363" s="21" t="n">
        <f aca="false">L366</f>
        <v>27121</v>
      </c>
      <c r="N363" s="21" t="n">
        <f aca="false">M366</f>
        <v>27355</v>
      </c>
      <c r="O363" s="21" t="n">
        <f aca="false">N366</f>
        <v>29239</v>
      </c>
      <c r="P363" s="21"/>
    </row>
    <row r="364" customFormat="false" ht="12.75" hidden="false" customHeight="false" outlineLevel="0" collapsed="false">
      <c r="A364" s="22" t="s">
        <v>50</v>
      </c>
      <c r="C364" s="23" t="n">
        <v>0</v>
      </c>
      <c r="D364" s="23" t="n">
        <v>-1899</v>
      </c>
      <c r="E364" s="23" t="n">
        <v>1903</v>
      </c>
      <c r="F364" s="23" t="n">
        <v>-429</v>
      </c>
      <c r="G364" s="23" t="n">
        <v>233</v>
      </c>
      <c r="H364" s="23" t="n">
        <v>106</v>
      </c>
      <c r="I364" s="23" t="n">
        <v>314</v>
      </c>
      <c r="J364" s="23" t="n">
        <v>262</v>
      </c>
      <c r="K364" s="23" t="n">
        <v>0</v>
      </c>
      <c r="L364" s="23" t="n">
        <v>0</v>
      </c>
      <c r="M364" s="23" t="n">
        <v>0</v>
      </c>
      <c r="N364" s="23" t="n">
        <v>0</v>
      </c>
      <c r="O364" s="23" t="n">
        <v>0</v>
      </c>
      <c r="P364" s="24" t="n">
        <f aca="false">SUM(D364:O364)</f>
        <v>490</v>
      </c>
      <c r="Q364" s="23" t="n">
        <f aca="false">SUM(D364:J364)</f>
        <v>490</v>
      </c>
      <c r="R364" s="24" t="n">
        <f aca="false">P364-Q364</f>
        <v>0</v>
      </c>
    </row>
    <row r="365" customFormat="false" ht="3.95" hidden="false" customHeight="true" outlineLevel="0" collapsed="false"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customFormat="false" ht="12.75" hidden="false" customHeight="false" outlineLevel="0" collapsed="false">
      <c r="A366" s="20" t="s">
        <v>212</v>
      </c>
      <c r="C366" s="25" t="n">
        <v>25457</v>
      </c>
      <c r="D366" s="21" t="n">
        <f aca="false">SUM(D362:D365)</f>
        <v>24562</v>
      </c>
      <c r="E366" s="21" t="n">
        <f aca="false">SUM(E362:E365)</f>
        <v>28662</v>
      </c>
      <c r="F366" s="21" t="n">
        <f aca="false">SUM(F362:F365)</f>
        <v>27244</v>
      </c>
      <c r="G366" s="21" t="n">
        <f aca="false">SUM(G362:G365)</f>
        <v>28999</v>
      </c>
      <c r="H366" s="21" t="n">
        <f aca="false">SUM(H362:H365)</f>
        <v>25378</v>
      </c>
      <c r="I366" s="21" t="n">
        <f aca="false">SUM(I362:I365)</f>
        <v>23505</v>
      </c>
      <c r="J366" s="21" t="n">
        <f aca="false">SUM(J362:J365)</f>
        <v>25898</v>
      </c>
      <c r="K366" s="21" t="n">
        <f aca="false">SUM(K362:K365)</f>
        <v>27679</v>
      </c>
      <c r="L366" s="21" t="n">
        <f aca="false">SUM(L362:L365)</f>
        <v>27121</v>
      </c>
      <c r="M366" s="21" t="n">
        <f aca="false">SUM(M362:M365)</f>
        <v>27355</v>
      </c>
      <c r="N366" s="21" t="n">
        <f aca="false">SUM(N362:N365)</f>
        <v>29239</v>
      </c>
      <c r="O366" s="21" t="n">
        <f aca="false">SUM(O362:O365)</f>
        <v>26410</v>
      </c>
      <c r="P366" s="21"/>
    </row>
    <row r="367" customFormat="false" ht="3.95" hidden="false" customHeight="true" outlineLevel="0" collapsed="false"/>
    <row r="368" customFormat="false" ht="12.75" hidden="false" customHeight="false" outlineLevel="0" collapsed="false">
      <c r="A368" s="22" t="s">
        <v>30</v>
      </c>
      <c r="C368" s="21"/>
      <c r="D368" s="21" t="n">
        <f aca="false">D366-C366</f>
        <v>-895</v>
      </c>
      <c r="E368" s="21" t="n">
        <f aca="false">E366-D366</f>
        <v>4100</v>
      </c>
      <c r="F368" s="21" t="n">
        <f aca="false">F366-E366</f>
        <v>-1418</v>
      </c>
      <c r="G368" s="21" t="n">
        <f aca="false">G366-F366</f>
        <v>1755</v>
      </c>
      <c r="H368" s="21" t="n">
        <f aca="false">H366-G366</f>
        <v>-3621</v>
      </c>
      <c r="I368" s="21" t="n">
        <f aca="false">I366-H366</f>
        <v>-1873</v>
      </c>
      <c r="J368" s="21" t="n">
        <f aca="false">J366-I366</f>
        <v>2393</v>
      </c>
      <c r="K368" s="21" t="n">
        <f aca="false">K366-J366</f>
        <v>1781</v>
      </c>
      <c r="L368" s="21" t="n">
        <f aca="false">L366-K366</f>
        <v>-558</v>
      </c>
      <c r="M368" s="21" t="n">
        <f aca="false">M366-L366</f>
        <v>234</v>
      </c>
      <c r="N368" s="21" t="n">
        <f aca="false">N366-M366</f>
        <v>1884</v>
      </c>
      <c r="O368" s="21" t="n">
        <f aca="false">O366-N366</f>
        <v>-2829</v>
      </c>
      <c r="P368" s="21" t="n">
        <f aca="false">SUM(D368:O368)</f>
        <v>953</v>
      </c>
      <c r="Q368" s="21" t="n">
        <f aca="false">Q362+Q364</f>
        <v>441</v>
      </c>
      <c r="R368" s="21" t="n">
        <f aca="false">P368-Q368</f>
        <v>512</v>
      </c>
    </row>
    <row r="371" customFormat="false" ht="12.75" hidden="false" customHeight="false" outlineLevel="0" collapsed="false">
      <c r="A371" s="20" t="s">
        <v>213</v>
      </c>
      <c r="C371" s="21"/>
      <c r="D371" s="21" t="n">
        <f aca="false">C376</f>
        <v>2374</v>
      </c>
      <c r="E371" s="21" t="n">
        <f aca="false">D376</f>
        <v>2474</v>
      </c>
      <c r="F371" s="21" t="n">
        <f aca="false">E376</f>
        <v>2476</v>
      </c>
      <c r="G371" s="21" t="n">
        <f aca="false">F376</f>
        <v>2476</v>
      </c>
      <c r="H371" s="21" t="n">
        <f aca="false">G376</f>
        <v>2477</v>
      </c>
      <c r="I371" s="21" t="n">
        <f aca="false">H376</f>
        <v>2478</v>
      </c>
      <c r="J371" s="21" t="n">
        <f aca="false">I376</f>
        <v>2478</v>
      </c>
      <c r="K371" s="21" t="n">
        <f aca="false">J376</f>
        <v>2479</v>
      </c>
      <c r="L371" s="21" t="n">
        <f aca="false">K376</f>
        <v>2479</v>
      </c>
      <c r="M371" s="21" t="n">
        <f aca="false">L376</f>
        <v>2479</v>
      </c>
      <c r="N371" s="21" t="n">
        <f aca="false">M376</f>
        <v>2479</v>
      </c>
      <c r="O371" s="21" t="n">
        <f aca="false">N376</f>
        <v>2479</v>
      </c>
      <c r="P371" s="21"/>
    </row>
    <row r="372" customFormat="false" ht="12.75" hidden="false" customHeight="false" outlineLevel="0" collapsed="false">
      <c r="A372" s="22" t="s">
        <v>214</v>
      </c>
      <c r="B372" s="27" t="s">
        <v>34</v>
      </c>
      <c r="C372" s="21"/>
      <c r="D372" s="21" t="n">
        <f aca="false">[1]Source!D52</f>
        <v>0</v>
      </c>
      <c r="E372" s="21" t="n">
        <f aca="false">[1]Source!E52</f>
        <v>0</v>
      </c>
      <c r="F372" s="21" t="n">
        <f aca="false">[1]Source!F52</f>
        <v>0</v>
      </c>
      <c r="G372" s="21" t="n">
        <f aca="false">[1]Source!G52</f>
        <v>0</v>
      </c>
      <c r="H372" s="21" t="n">
        <f aca="false">[1]Source!H52</f>
        <v>0</v>
      </c>
      <c r="I372" s="21" t="n">
        <f aca="false">[1]Source!I52</f>
        <v>0</v>
      </c>
      <c r="J372" s="21" t="n">
        <f aca="false">[1]Source!J52</f>
        <v>0</v>
      </c>
      <c r="K372" s="21" t="n">
        <f aca="false">[1]Source!K52</f>
        <v>0</v>
      </c>
      <c r="L372" s="21" t="n">
        <f aca="false">[1]Source!L52</f>
        <v>0</v>
      </c>
      <c r="M372" s="21" t="n">
        <f aca="false">[1]Source!M52</f>
        <v>0</v>
      </c>
      <c r="N372" s="21" t="n">
        <f aca="false">[1]Source!N52</f>
        <v>0</v>
      </c>
      <c r="O372" s="21" t="n">
        <f aca="false">[1]Source!O52</f>
        <v>0</v>
      </c>
      <c r="P372" s="21" t="n">
        <f aca="false">SUM(D372:O372)</f>
        <v>0</v>
      </c>
      <c r="Q372" s="25" t="n">
        <f aca="false">SUM(D372:J372)</f>
        <v>0</v>
      </c>
      <c r="R372" s="21" t="n">
        <f aca="false">P372-Q372</f>
        <v>0</v>
      </c>
    </row>
    <row r="373" customFormat="false" ht="12.75" hidden="false" customHeight="false" outlineLevel="0" collapsed="false">
      <c r="A373" s="22" t="s">
        <v>215</v>
      </c>
      <c r="B373" s="27"/>
      <c r="C373" s="21"/>
      <c r="D373" s="25" t="n">
        <v>100</v>
      </c>
      <c r="E373" s="25" t="n">
        <v>2</v>
      </c>
      <c r="F373" s="25" t="n">
        <v>0</v>
      </c>
      <c r="G373" s="25" t="n">
        <v>1</v>
      </c>
      <c r="H373" s="25" t="n">
        <v>1</v>
      </c>
      <c r="I373" s="25" t="n">
        <v>0</v>
      </c>
      <c r="J373" s="25" t="n">
        <v>1</v>
      </c>
      <c r="K373" s="25" t="n">
        <v>0</v>
      </c>
      <c r="L373" s="25" t="n">
        <v>0</v>
      </c>
      <c r="M373" s="25" t="n">
        <v>0</v>
      </c>
      <c r="N373" s="25" t="n">
        <v>0</v>
      </c>
      <c r="O373" s="25" t="n">
        <v>0</v>
      </c>
      <c r="P373" s="21" t="n">
        <f aca="false">SUM(D373:O373)</f>
        <v>105</v>
      </c>
      <c r="Q373" s="25" t="n">
        <f aca="false">SUM(D373:J373)</f>
        <v>105</v>
      </c>
      <c r="R373" s="21" t="n">
        <f aca="false">P373-Q373</f>
        <v>0</v>
      </c>
    </row>
    <row r="374" customFormat="false" ht="12.75" hidden="false" customHeight="false" outlineLevel="0" collapsed="false">
      <c r="A374" s="22" t="s">
        <v>50</v>
      </c>
      <c r="C374" s="23" t="n">
        <v>0</v>
      </c>
      <c r="D374" s="23" t="n">
        <v>0</v>
      </c>
      <c r="E374" s="23" t="n">
        <v>0</v>
      </c>
      <c r="F374" s="23" t="n">
        <v>0</v>
      </c>
      <c r="G374" s="23" t="n">
        <v>0</v>
      </c>
      <c r="H374" s="23" t="n">
        <v>0</v>
      </c>
      <c r="I374" s="23" t="n">
        <v>0</v>
      </c>
      <c r="J374" s="23" t="n">
        <v>0</v>
      </c>
      <c r="K374" s="23" t="n">
        <v>0</v>
      </c>
      <c r="L374" s="23" t="n">
        <v>0</v>
      </c>
      <c r="M374" s="23" t="n">
        <v>0</v>
      </c>
      <c r="N374" s="23" t="n">
        <v>0</v>
      </c>
      <c r="O374" s="23" t="n">
        <v>0</v>
      </c>
      <c r="P374" s="24" t="n">
        <f aca="false">SUM(D374:O374)</f>
        <v>0</v>
      </c>
      <c r="Q374" s="23" t="n">
        <f aca="false">SUM(D374:J374)</f>
        <v>0</v>
      </c>
      <c r="R374" s="24" t="n">
        <f aca="false">P374-Q374</f>
        <v>0</v>
      </c>
    </row>
    <row r="375" customFormat="false" ht="3.95" hidden="false" customHeight="true" outlineLevel="0" collapsed="false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customFormat="false" ht="12.75" hidden="false" customHeight="false" outlineLevel="0" collapsed="false">
      <c r="A376" s="20" t="s">
        <v>216</v>
      </c>
      <c r="C376" s="25" t="n">
        <v>2374</v>
      </c>
      <c r="D376" s="21" t="n">
        <f aca="false">SUM(D371:D375)</f>
        <v>2474</v>
      </c>
      <c r="E376" s="21" t="n">
        <f aca="false">SUM(E371:E375)</f>
        <v>2476</v>
      </c>
      <c r="F376" s="21" t="n">
        <f aca="false">SUM(F371:F375)</f>
        <v>2476</v>
      </c>
      <c r="G376" s="21" t="n">
        <f aca="false">SUM(G371:G375)</f>
        <v>2477</v>
      </c>
      <c r="H376" s="21" t="n">
        <f aca="false">SUM(H371:H375)</f>
        <v>2478</v>
      </c>
      <c r="I376" s="21" t="n">
        <f aca="false">SUM(I371:I375)</f>
        <v>2478</v>
      </c>
      <c r="J376" s="21" t="n">
        <f aca="false">SUM(J371:J375)</f>
        <v>2479</v>
      </c>
      <c r="K376" s="21" t="n">
        <f aca="false">SUM(K371:K375)</f>
        <v>2479</v>
      </c>
      <c r="L376" s="21" t="n">
        <f aca="false">SUM(L371:L375)</f>
        <v>2479</v>
      </c>
      <c r="M376" s="21" t="n">
        <f aca="false">SUM(M371:M375)</f>
        <v>2479</v>
      </c>
      <c r="N376" s="21" t="n">
        <f aca="false">SUM(N371:N375)</f>
        <v>2479</v>
      </c>
      <c r="O376" s="21" t="n">
        <f aca="false">SUM(O371:O375)</f>
        <v>2479</v>
      </c>
      <c r="P376" s="21"/>
    </row>
    <row r="377" customFormat="false" ht="3.95" hidden="false" customHeight="true" outlineLevel="0" collapsed="false"/>
    <row r="378" customFormat="false" ht="12.75" hidden="false" customHeight="false" outlineLevel="0" collapsed="false">
      <c r="A378" s="22" t="s">
        <v>30</v>
      </c>
      <c r="C378" s="21"/>
      <c r="D378" s="21" t="n">
        <f aca="false">D376-C376</f>
        <v>100</v>
      </c>
      <c r="E378" s="21" t="n">
        <f aca="false">E376-D376</f>
        <v>2</v>
      </c>
      <c r="F378" s="21" t="n">
        <f aca="false">F376-E376</f>
        <v>0</v>
      </c>
      <c r="G378" s="21" t="n">
        <f aca="false">G376-F376</f>
        <v>1</v>
      </c>
      <c r="H378" s="21" t="n">
        <f aca="false">H376-G376</f>
        <v>1</v>
      </c>
      <c r="I378" s="21" t="n">
        <f aca="false">I376-H376</f>
        <v>0</v>
      </c>
      <c r="J378" s="21" t="n">
        <f aca="false">J376-I376</f>
        <v>1</v>
      </c>
      <c r="K378" s="21" t="n">
        <f aca="false">K376-J376</f>
        <v>0</v>
      </c>
      <c r="L378" s="21" t="n">
        <f aca="false">L376-K376</f>
        <v>0</v>
      </c>
      <c r="M378" s="21" t="n">
        <f aca="false">M376-L376</f>
        <v>0</v>
      </c>
      <c r="N378" s="21" t="n">
        <f aca="false">N376-M376</f>
        <v>0</v>
      </c>
      <c r="O378" s="21" t="n">
        <f aca="false">O376-N376</f>
        <v>0</v>
      </c>
      <c r="P378" s="21" t="n">
        <f aca="false">SUM(D378:O378)</f>
        <v>105</v>
      </c>
      <c r="Q378" s="21" t="n">
        <f aca="false">SUM(Q372:Q375)</f>
        <v>105</v>
      </c>
      <c r="R378" s="21" t="n">
        <f aca="false">P378-Q378</f>
        <v>0</v>
      </c>
    </row>
    <row r="381" customFormat="false" ht="12.75" hidden="false" customHeight="false" outlineLevel="0" collapsed="false">
      <c r="A381" s="20" t="s">
        <v>217</v>
      </c>
      <c r="C381" s="21"/>
      <c r="D381" s="21" t="n">
        <f aca="false">C386</f>
        <v>289220</v>
      </c>
      <c r="E381" s="21" t="n">
        <f aca="false">D386</f>
        <v>292382</v>
      </c>
      <c r="F381" s="21" t="n">
        <f aca="false">E386</f>
        <v>292531</v>
      </c>
      <c r="G381" s="21" t="n">
        <f aca="false">F386</f>
        <v>291319</v>
      </c>
      <c r="H381" s="21" t="n">
        <f aca="false">G386</f>
        <v>314660</v>
      </c>
      <c r="I381" s="21" t="n">
        <f aca="false">H386</f>
        <v>316234</v>
      </c>
      <c r="J381" s="21" t="n">
        <f aca="false">I386</f>
        <v>313249</v>
      </c>
      <c r="K381" s="21" t="n">
        <f aca="false">J386</f>
        <v>314108</v>
      </c>
      <c r="L381" s="21" t="n">
        <f aca="false">K386</f>
        <v>317447</v>
      </c>
      <c r="M381" s="21" t="n">
        <f aca="false">L386</f>
        <v>319654</v>
      </c>
      <c r="N381" s="21" t="n">
        <f aca="false">M386</f>
        <v>307840</v>
      </c>
      <c r="O381" s="21" t="n">
        <f aca="false">N386</f>
        <v>306519</v>
      </c>
      <c r="P381" s="21"/>
    </row>
    <row r="382" customFormat="false" ht="12.75" hidden="false" customHeight="false" outlineLevel="0" collapsed="false">
      <c r="A382" s="22" t="s">
        <v>214</v>
      </c>
      <c r="B382" s="27" t="s">
        <v>34</v>
      </c>
      <c r="C382" s="21"/>
      <c r="D382" s="21" t="n">
        <f aca="false">[1]Source!D53</f>
        <v>3262</v>
      </c>
      <c r="E382" s="21" t="n">
        <f aca="false">[1]Source!E53</f>
        <v>150</v>
      </c>
      <c r="F382" s="21" t="n">
        <f aca="false">[1]Source!F53</f>
        <v>-1147</v>
      </c>
      <c r="G382" s="21" t="n">
        <f aca="false">[1]Source!G53</f>
        <v>23341</v>
      </c>
      <c r="H382" s="21" t="n">
        <f aca="false">[1]Source!H53</f>
        <v>1575</v>
      </c>
      <c r="I382" s="21" t="n">
        <f aca="false">[1]Source!I53</f>
        <v>-2983</v>
      </c>
      <c r="J382" s="21" t="n">
        <f aca="false">[1]Source!J53</f>
        <v>860</v>
      </c>
      <c r="K382" s="21" t="n">
        <f aca="false">[1]Source!K53</f>
        <v>3339</v>
      </c>
      <c r="L382" s="21" t="n">
        <f aca="false">[1]Source!L53</f>
        <v>2207</v>
      </c>
      <c r="M382" s="21" t="n">
        <f aca="false">[1]Source!M53</f>
        <v>-11814</v>
      </c>
      <c r="N382" s="21" t="n">
        <f aca="false">[1]Source!N53</f>
        <v>-1321</v>
      </c>
      <c r="O382" s="21" t="n">
        <f aca="false">[1]Source!O53</f>
        <v>659</v>
      </c>
      <c r="P382" s="21" t="n">
        <f aca="false">SUM(D382:O382)</f>
        <v>18128</v>
      </c>
      <c r="Q382" s="25" t="n">
        <f aca="false">SUM(D382:J382)</f>
        <v>25058</v>
      </c>
      <c r="R382" s="21" t="n">
        <f aca="false">P382-Q382</f>
        <v>-6930</v>
      </c>
    </row>
    <row r="383" customFormat="false" ht="12.75" hidden="false" customHeight="false" outlineLevel="0" collapsed="false">
      <c r="A383" s="22" t="s">
        <v>218</v>
      </c>
      <c r="B383" s="27"/>
      <c r="C383" s="21"/>
      <c r="D383" s="45" t="n">
        <f aca="false">-D373</f>
        <v>-100</v>
      </c>
      <c r="E383" s="45" t="n">
        <f aca="false">-E373</f>
        <v>-2</v>
      </c>
      <c r="F383" s="45" t="n">
        <f aca="false">-F373</f>
        <v>-0</v>
      </c>
      <c r="G383" s="45" t="n">
        <f aca="false">-G373</f>
        <v>-1</v>
      </c>
      <c r="H383" s="45" t="n">
        <f aca="false">-H373</f>
        <v>-1</v>
      </c>
      <c r="I383" s="45" t="n">
        <f aca="false">-I373</f>
        <v>-0</v>
      </c>
      <c r="J383" s="45" t="n">
        <f aca="false">-J373</f>
        <v>-1</v>
      </c>
      <c r="K383" s="45" t="n">
        <f aca="false">-K373</f>
        <v>-0</v>
      </c>
      <c r="L383" s="45" t="n">
        <f aca="false">-L373</f>
        <v>-0</v>
      </c>
      <c r="M383" s="45" t="n">
        <f aca="false">-M373</f>
        <v>-0</v>
      </c>
      <c r="N383" s="45" t="n">
        <f aca="false">-N373</f>
        <v>-0</v>
      </c>
      <c r="O383" s="45" t="n">
        <f aca="false">-O373</f>
        <v>-0</v>
      </c>
      <c r="P383" s="21" t="n">
        <f aca="false">SUM(D383:O383)</f>
        <v>-105</v>
      </c>
      <c r="Q383" s="25" t="n">
        <f aca="false">SUM(D383:J383)</f>
        <v>-105</v>
      </c>
      <c r="R383" s="21" t="n">
        <f aca="false">P383-Q383</f>
        <v>0</v>
      </c>
    </row>
    <row r="384" customFormat="false" ht="12.75" hidden="false" customHeight="false" outlineLevel="0" collapsed="false">
      <c r="A384" s="22" t="s">
        <v>219</v>
      </c>
      <c r="C384" s="23" t="n">
        <v>0</v>
      </c>
      <c r="D384" s="23" t="n">
        <v>0</v>
      </c>
      <c r="E384" s="23" t="n">
        <v>1</v>
      </c>
      <c r="F384" s="23" t="n">
        <f aca="false">-64-1</f>
        <v>-65</v>
      </c>
      <c r="G384" s="23" t="n">
        <v>1</v>
      </c>
      <c r="H384" s="23" t="n">
        <v>0</v>
      </c>
      <c r="I384" s="23" t="n">
        <v>-2</v>
      </c>
      <c r="J384" s="23" t="n">
        <v>0</v>
      </c>
      <c r="K384" s="23" t="n">
        <v>0</v>
      </c>
      <c r="L384" s="23" t="n">
        <v>0</v>
      </c>
      <c r="M384" s="23" t="n">
        <v>0</v>
      </c>
      <c r="N384" s="23" t="n">
        <v>0</v>
      </c>
      <c r="O384" s="23" t="n">
        <v>0</v>
      </c>
      <c r="P384" s="24" t="n">
        <f aca="false">SUM(D384:O384)</f>
        <v>-65</v>
      </c>
      <c r="Q384" s="23" t="n">
        <f aca="false">SUM(D384:J384)</f>
        <v>-65</v>
      </c>
      <c r="R384" s="24" t="n">
        <f aca="false">P384-Q384</f>
        <v>0</v>
      </c>
    </row>
    <row r="385" customFormat="false" ht="3.95" hidden="false" customHeight="true" outlineLevel="0" collapsed="false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customFormat="false" ht="12.75" hidden="false" customHeight="false" outlineLevel="0" collapsed="false">
      <c r="A386" s="20" t="s">
        <v>220</v>
      </c>
      <c r="C386" s="25" t="n">
        <v>289220</v>
      </c>
      <c r="D386" s="21" t="n">
        <f aca="false">SUM(D381:D385)</f>
        <v>292382</v>
      </c>
      <c r="E386" s="21" t="n">
        <f aca="false">SUM(E381:E385)</f>
        <v>292531</v>
      </c>
      <c r="F386" s="21" t="n">
        <f aca="false">SUM(F381:F385)</f>
        <v>291319</v>
      </c>
      <c r="G386" s="21" t="n">
        <f aca="false">SUM(G381:G385)</f>
        <v>314660</v>
      </c>
      <c r="H386" s="21" t="n">
        <f aca="false">SUM(H381:H385)</f>
        <v>316234</v>
      </c>
      <c r="I386" s="21" t="n">
        <f aca="false">SUM(I381:I385)</f>
        <v>313249</v>
      </c>
      <c r="J386" s="21" t="n">
        <f aca="false">SUM(J381:J385)</f>
        <v>314108</v>
      </c>
      <c r="K386" s="21" t="n">
        <f aca="false">SUM(K381:K385)</f>
        <v>317447</v>
      </c>
      <c r="L386" s="21" t="n">
        <f aca="false">SUM(L381:L385)</f>
        <v>319654</v>
      </c>
      <c r="M386" s="21" t="n">
        <f aca="false">SUM(M381:M385)</f>
        <v>307840</v>
      </c>
      <c r="N386" s="21" t="n">
        <f aca="false">SUM(N381:N385)</f>
        <v>306519</v>
      </c>
      <c r="O386" s="21" t="n">
        <f aca="false">SUM(O381:O385)</f>
        <v>307178</v>
      </c>
      <c r="P386" s="21"/>
    </row>
    <row r="387" customFormat="false" ht="3.95" hidden="false" customHeight="true" outlineLevel="0" collapsed="false"/>
    <row r="388" customFormat="false" ht="12.75" hidden="false" customHeight="false" outlineLevel="0" collapsed="false">
      <c r="A388" s="22" t="s">
        <v>30</v>
      </c>
      <c r="C388" s="21"/>
      <c r="D388" s="21" t="n">
        <f aca="false">D386-C386</f>
        <v>3162</v>
      </c>
      <c r="E388" s="21" t="n">
        <f aca="false">E386-D386</f>
        <v>149</v>
      </c>
      <c r="F388" s="21" t="n">
        <f aca="false">F386-E386</f>
        <v>-1212</v>
      </c>
      <c r="G388" s="21" t="n">
        <f aca="false">G386-F386</f>
        <v>23341</v>
      </c>
      <c r="H388" s="21" t="n">
        <f aca="false">H386-G386</f>
        <v>1574</v>
      </c>
      <c r="I388" s="21" t="n">
        <f aca="false">I386-H386</f>
        <v>-2985</v>
      </c>
      <c r="J388" s="21" t="n">
        <f aca="false">J386-I386</f>
        <v>859</v>
      </c>
      <c r="K388" s="21" t="n">
        <f aca="false">K386-J386</f>
        <v>3339</v>
      </c>
      <c r="L388" s="21" t="n">
        <f aca="false">L386-K386</f>
        <v>2207</v>
      </c>
      <c r="M388" s="21" t="n">
        <f aca="false">M386-L386</f>
        <v>-11814</v>
      </c>
      <c r="N388" s="21" t="n">
        <f aca="false">N386-M386</f>
        <v>-1321</v>
      </c>
      <c r="O388" s="21" t="n">
        <f aca="false">O386-N386</f>
        <v>659</v>
      </c>
      <c r="P388" s="21" t="n">
        <f aca="false">SUM(D388:O388)</f>
        <v>17958</v>
      </c>
      <c r="Q388" s="21" t="n">
        <f aca="false">SUM(Q382:Q385)</f>
        <v>24888</v>
      </c>
      <c r="R388" s="21" t="n">
        <f aca="false">P388-Q388</f>
        <v>-6930</v>
      </c>
    </row>
    <row r="391" customFormat="false" ht="12.75" hidden="false" customHeight="false" outlineLevel="0" collapsed="false">
      <c r="A391" s="20" t="s">
        <v>221</v>
      </c>
      <c r="C391" s="21"/>
      <c r="D391" s="21" t="n">
        <f aca="false">C396</f>
        <v>5634</v>
      </c>
      <c r="E391" s="21" t="n">
        <f aca="false">D396</f>
        <v>8509</v>
      </c>
      <c r="F391" s="21" t="n">
        <f aca="false">E396</f>
        <v>11384</v>
      </c>
      <c r="G391" s="21" t="n">
        <f aca="false">F396</f>
        <v>9197</v>
      </c>
      <c r="H391" s="21" t="n">
        <f aca="false">G396</f>
        <v>12072</v>
      </c>
      <c r="I391" s="21" t="n">
        <f aca="false">H396</f>
        <v>11509</v>
      </c>
      <c r="J391" s="21" t="n">
        <f aca="false">I396</f>
        <v>5634</v>
      </c>
      <c r="K391" s="21" t="n">
        <f aca="false">J396</f>
        <v>8509</v>
      </c>
      <c r="L391" s="21" t="n">
        <f aca="false">K396</f>
        <v>11384</v>
      </c>
      <c r="M391" s="21" t="n">
        <f aca="false">L396</f>
        <v>9197</v>
      </c>
      <c r="N391" s="21" t="n">
        <f aca="false">M396</f>
        <v>12072</v>
      </c>
      <c r="O391" s="21" t="n">
        <f aca="false">N396</f>
        <v>11509</v>
      </c>
      <c r="P391" s="21"/>
      <c r="Q391" s="21"/>
      <c r="R391" s="21"/>
    </row>
    <row r="392" customFormat="false" ht="12.75" hidden="false" customHeight="false" outlineLevel="0" collapsed="false">
      <c r="A392" s="22" t="s">
        <v>222</v>
      </c>
      <c r="D392" s="25" t="n">
        <f aca="false">573+1458+844</f>
        <v>2875</v>
      </c>
      <c r="E392" s="25" t="n">
        <f aca="false">573+1458+844</f>
        <v>2875</v>
      </c>
      <c r="F392" s="25" t="n">
        <f aca="false">573+1459+844</f>
        <v>2876</v>
      </c>
      <c r="G392" s="25" t="n">
        <f aca="false">573+1458+844</f>
        <v>2875</v>
      </c>
      <c r="H392" s="25" t="n">
        <f aca="false">573+1457+844</f>
        <v>2874</v>
      </c>
      <c r="I392" s="25" t="n">
        <f aca="false">573+1458+844</f>
        <v>2875</v>
      </c>
      <c r="J392" s="25" t="n">
        <f aca="false">573+1458+844</f>
        <v>2875</v>
      </c>
      <c r="K392" s="25" t="n">
        <f aca="false">573+1459+843</f>
        <v>2875</v>
      </c>
      <c r="L392" s="25" t="n">
        <f aca="false">573+1459+843</f>
        <v>2875</v>
      </c>
      <c r="M392" s="25" t="n">
        <f aca="false">573+1458+844</f>
        <v>2875</v>
      </c>
      <c r="N392" s="25" t="n">
        <f aca="false">573+1458+844</f>
        <v>2875</v>
      </c>
      <c r="O392" s="25" t="n">
        <f aca="false">573+1459+843</f>
        <v>2875</v>
      </c>
      <c r="P392" s="21" t="n">
        <f aca="false">SUM(D392:O392)</f>
        <v>34500</v>
      </c>
      <c r="Q392" s="25" t="n">
        <f aca="false">SUM(D392:J392)</f>
        <v>20125</v>
      </c>
      <c r="R392" s="21" t="n">
        <f aca="false">P392-Q392</f>
        <v>14375</v>
      </c>
    </row>
    <row r="393" customFormat="false" ht="12.75" hidden="false" customHeight="false" outlineLevel="0" collapsed="false">
      <c r="A393" s="22" t="s">
        <v>223</v>
      </c>
      <c r="D393" s="25" t="n">
        <v>0</v>
      </c>
      <c r="E393" s="25" t="n">
        <v>0</v>
      </c>
      <c r="F393" s="25" t="n">
        <v>-5063</v>
      </c>
      <c r="G393" s="25" t="n">
        <v>0</v>
      </c>
      <c r="H393" s="25" t="n">
        <f aca="false">-3437</f>
        <v>-3437</v>
      </c>
      <c r="I393" s="25" t="n">
        <v>-8750</v>
      </c>
      <c r="J393" s="25" t="n">
        <v>0</v>
      </c>
      <c r="K393" s="25" t="n">
        <v>0</v>
      </c>
      <c r="L393" s="25" t="n">
        <v>-5062</v>
      </c>
      <c r="M393" s="25" t="n">
        <v>0</v>
      </c>
      <c r="N393" s="25" t="n">
        <v>-3438</v>
      </c>
      <c r="O393" s="25" t="n">
        <v>-8750</v>
      </c>
      <c r="P393" s="21" t="n">
        <f aca="false">SUM(D393:O393)</f>
        <v>-34500</v>
      </c>
      <c r="Q393" s="25" t="n">
        <f aca="false">SUM(D393:J393)</f>
        <v>-17250</v>
      </c>
      <c r="R393" s="21" t="n">
        <f aca="false">P393-Q393</f>
        <v>-17250</v>
      </c>
    </row>
    <row r="394" customFormat="false" ht="12.75" hidden="false" customHeight="false" outlineLevel="0" collapsed="false">
      <c r="A394" s="22" t="s">
        <v>50</v>
      </c>
      <c r="C394" s="23" t="n">
        <v>0</v>
      </c>
      <c r="D394" s="23" t="n">
        <v>0</v>
      </c>
      <c r="E394" s="23" t="n">
        <v>0</v>
      </c>
      <c r="F394" s="23" t="n">
        <v>0</v>
      </c>
      <c r="G394" s="23" t="n">
        <v>0</v>
      </c>
      <c r="H394" s="23" t="n">
        <v>0</v>
      </c>
      <c r="I394" s="23" t="n">
        <v>0</v>
      </c>
      <c r="J394" s="23" t="n">
        <v>0</v>
      </c>
      <c r="K394" s="23" t="n">
        <v>0</v>
      </c>
      <c r="L394" s="23" t="n">
        <v>0</v>
      </c>
      <c r="M394" s="23" t="n">
        <v>0</v>
      </c>
      <c r="N394" s="23" t="n">
        <v>0</v>
      </c>
      <c r="O394" s="23" t="n">
        <v>0</v>
      </c>
      <c r="P394" s="24" t="n">
        <f aca="false">SUM(D394:O394)</f>
        <v>0</v>
      </c>
      <c r="Q394" s="23" t="n">
        <f aca="false">SUM(D394:J394)</f>
        <v>0</v>
      </c>
      <c r="R394" s="24" t="n">
        <f aca="false">P394-Q394</f>
        <v>0</v>
      </c>
    </row>
    <row r="395" customFormat="false" ht="3.95" hidden="false" customHeight="true" outlineLevel="0" collapsed="false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customFormat="false" ht="12.75" hidden="false" customHeight="false" outlineLevel="0" collapsed="false">
      <c r="A396" s="20" t="s">
        <v>224</v>
      </c>
      <c r="C396" s="25" t="n">
        <v>5634</v>
      </c>
      <c r="D396" s="21" t="n">
        <f aca="false">SUM(D391:D395)</f>
        <v>8509</v>
      </c>
      <c r="E396" s="21" t="n">
        <f aca="false">SUM(E391:E395)</f>
        <v>11384</v>
      </c>
      <c r="F396" s="21" t="n">
        <f aca="false">SUM(F391:F395)</f>
        <v>9197</v>
      </c>
      <c r="G396" s="21" t="n">
        <f aca="false">SUM(G391:G395)</f>
        <v>12072</v>
      </c>
      <c r="H396" s="21" t="n">
        <f aca="false">SUM(H391:H395)</f>
        <v>11509</v>
      </c>
      <c r="I396" s="21" t="n">
        <f aca="false">SUM(I391:I395)</f>
        <v>5634</v>
      </c>
      <c r="J396" s="21" t="n">
        <f aca="false">SUM(J391:J395)</f>
        <v>8509</v>
      </c>
      <c r="K396" s="21" t="n">
        <f aca="false">SUM(K391:K395)</f>
        <v>11384</v>
      </c>
      <c r="L396" s="21" t="n">
        <f aca="false">SUM(L391:L395)</f>
        <v>9197</v>
      </c>
      <c r="M396" s="21" t="n">
        <f aca="false">SUM(M391:M395)</f>
        <v>12072</v>
      </c>
      <c r="N396" s="21" t="n">
        <f aca="false">SUM(N391:N395)</f>
        <v>11509</v>
      </c>
      <c r="O396" s="21" t="n">
        <f aca="false">SUM(O391:O395)</f>
        <v>5634</v>
      </c>
      <c r="P396" s="21"/>
      <c r="Q396" s="21"/>
      <c r="R396" s="21"/>
    </row>
    <row r="397" customFormat="false" ht="3.95" hidden="false" customHeight="true" outlineLevel="0" collapsed="false"/>
    <row r="398" customFormat="false" ht="12.75" hidden="false" customHeight="false" outlineLevel="0" collapsed="false">
      <c r="A398" s="22" t="s">
        <v>30</v>
      </c>
      <c r="C398" s="21"/>
      <c r="D398" s="21" t="n">
        <f aca="false">D396-C396</f>
        <v>2875</v>
      </c>
      <c r="E398" s="21" t="n">
        <f aca="false">E396-D396</f>
        <v>2875</v>
      </c>
      <c r="F398" s="21" t="n">
        <f aca="false">F396-E396</f>
        <v>-2187</v>
      </c>
      <c r="G398" s="21" t="n">
        <f aca="false">G396-F396</f>
        <v>2875</v>
      </c>
      <c r="H398" s="21" t="n">
        <f aca="false">H396-G396</f>
        <v>-563</v>
      </c>
      <c r="I398" s="21" t="n">
        <f aca="false">I396-H396</f>
        <v>-5875</v>
      </c>
      <c r="J398" s="21" t="n">
        <f aca="false">J396-I396</f>
        <v>2875</v>
      </c>
      <c r="K398" s="21" t="n">
        <f aca="false">K396-J396</f>
        <v>2875</v>
      </c>
      <c r="L398" s="21" t="n">
        <f aca="false">L396-K396</f>
        <v>-2187</v>
      </c>
      <c r="M398" s="21" t="n">
        <f aca="false">M396-L396</f>
        <v>2875</v>
      </c>
      <c r="N398" s="21" t="n">
        <f aca="false">N396-M396</f>
        <v>-563</v>
      </c>
      <c r="O398" s="21" t="n">
        <f aca="false">O396-N396</f>
        <v>-5875</v>
      </c>
      <c r="P398" s="21" t="n">
        <f aca="false">SUM(D398:O398)</f>
        <v>0</v>
      </c>
      <c r="Q398" s="21" t="n">
        <f aca="false">SUM(Q392:Q395)</f>
        <v>2875</v>
      </c>
      <c r="R398" s="21" t="n">
        <f aca="false">P398-Q398</f>
        <v>-2875</v>
      </c>
    </row>
    <row r="399" customFormat="false" ht="8.1" hidden="false" customHeight="true" outlineLevel="0" collapsed="false">
      <c r="A399" s="0"/>
    </row>
    <row r="401" customFormat="false" ht="12.75" hidden="false" customHeight="false" outlineLevel="0" collapsed="false">
      <c r="A401" s="20" t="s">
        <v>225</v>
      </c>
      <c r="C401" s="21"/>
      <c r="D401" s="21" t="n">
        <f aca="false">C416</f>
        <v>17841</v>
      </c>
      <c r="E401" s="21" t="n">
        <f aca="false">D416</f>
        <v>15857</v>
      </c>
      <c r="F401" s="21" t="n">
        <f aca="false">E416</f>
        <v>19620</v>
      </c>
      <c r="G401" s="21" t="n">
        <f aca="false">F416</f>
        <v>20108</v>
      </c>
      <c r="H401" s="21" t="n">
        <f aca="false">G416</f>
        <v>20094</v>
      </c>
      <c r="I401" s="21" t="n">
        <f aca="false">H416</f>
        <v>20415</v>
      </c>
      <c r="J401" s="21" t="n">
        <f aca="false">I416</f>
        <v>20229</v>
      </c>
      <c r="K401" s="21" t="n">
        <f aca="false">J416</f>
        <v>20016</v>
      </c>
      <c r="L401" s="21" t="n">
        <f aca="false">K416</f>
        <v>19881</v>
      </c>
      <c r="M401" s="21" t="n">
        <f aca="false">L416</f>
        <v>19681</v>
      </c>
      <c r="N401" s="21" t="n">
        <f aca="false">M416</f>
        <v>20256</v>
      </c>
      <c r="O401" s="21" t="n">
        <f aca="false">N416</f>
        <v>20119</v>
      </c>
      <c r="P401" s="21"/>
    </row>
    <row r="402" customFormat="false" ht="12.75" hidden="false" customHeight="false" outlineLevel="0" collapsed="false">
      <c r="A402" s="22" t="s">
        <v>226</v>
      </c>
      <c r="B402" s="27"/>
      <c r="C402" s="25" t="n">
        <v>4500</v>
      </c>
      <c r="D402" s="25" t="n">
        <v>0</v>
      </c>
      <c r="E402" s="25" t="n">
        <v>0</v>
      </c>
      <c r="F402" s="25" t="n">
        <v>0</v>
      </c>
      <c r="G402" s="25" t="n">
        <v>0</v>
      </c>
      <c r="H402" s="25" t="n">
        <v>0</v>
      </c>
      <c r="I402" s="25" t="n">
        <v>0</v>
      </c>
      <c r="J402" s="25" t="n">
        <v>-155</v>
      </c>
      <c r="K402" s="25" t="n">
        <v>-135</v>
      </c>
      <c r="L402" s="25" t="n">
        <v>-200</v>
      </c>
      <c r="M402" s="25" t="n">
        <v>-227</v>
      </c>
      <c r="N402" s="25" t="n">
        <v>-137</v>
      </c>
      <c r="O402" s="25" t="n">
        <v>-138</v>
      </c>
      <c r="P402" s="21" t="n">
        <f aca="false">SUM(D402:O402)</f>
        <v>-992</v>
      </c>
      <c r="Q402" s="25" t="n">
        <f aca="false">SUM(D402:J402)</f>
        <v>-155</v>
      </c>
      <c r="R402" s="21" t="n">
        <f aca="false">P402-Q402</f>
        <v>-837</v>
      </c>
    </row>
    <row r="403" customFormat="false" ht="12.75" hidden="false" customHeight="false" outlineLevel="0" collapsed="false">
      <c r="A403" s="22" t="s">
        <v>227</v>
      </c>
      <c r="B403" s="27" t="s">
        <v>34</v>
      </c>
      <c r="C403" s="25" t="n">
        <v>0</v>
      </c>
      <c r="D403" s="21" t="n">
        <f aca="false">[1]Source!D44</f>
        <v>0</v>
      </c>
      <c r="E403" s="21" t="n">
        <f aca="false">[1]Source!E44</f>
        <v>0</v>
      </c>
      <c r="F403" s="21" t="n">
        <f aca="false">[1]Source!F44</f>
        <v>0</v>
      </c>
      <c r="G403" s="21" t="n">
        <f aca="false">[1]Source!G44</f>
        <v>0</v>
      </c>
      <c r="H403" s="21" t="n">
        <f aca="false">[1]Source!H44</f>
        <v>0</v>
      </c>
      <c r="I403" s="21" t="n">
        <f aca="false">[1]Source!I44</f>
        <v>0</v>
      </c>
      <c r="J403" s="21" t="n">
        <f aca="false">[1]Source!J44</f>
        <v>0</v>
      </c>
      <c r="K403" s="21" t="n">
        <f aca="false">[1]Source!K44</f>
        <v>0</v>
      </c>
      <c r="L403" s="21" t="n">
        <f aca="false">[1]Source!L44</f>
        <v>0</v>
      </c>
      <c r="M403" s="21" t="n">
        <f aca="false">[1]Source!M44</f>
        <v>0</v>
      </c>
      <c r="N403" s="21" t="n">
        <f aca="false">[1]Source!N44</f>
        <v>0</v>
      </c>
      <c r="O403" s="21" t="n">
        <f aca="false">[1]Source!O44</f>
        <v>0</v>
      </c>
      <c r="P403" s="21" t="n">
        <f aca="false">SUM(D403:O403)</f>
        <v>0</v>
      </c>
      <c r="Q403" s="25" t="n">
        <f aca="false">SUM(D403:J403)</f>
        <v>0</v>
      </c>
      <c r="R403" s="21" t="n">
        <f aca="false">P403-Q403</f>
        <v>0</v>
      </c>
    </row>
    <row r="404" customFormat="false" ht="12.75" hidden="false" customHeight="false" outlineLevel="0" collapsed="false">
      <c r="A404" s="22" t="s">
        <v>228</v>
      </c>
      <c r="C404" s="25" t="n">
        <v>1712</v>
      </c>
      <c r="D404" s="25" t="n">
        <v>517</v>
      </c>
      <c r="E404" s="25" t="n">
        <v>815</v>
      </c>
      <c r="F404" s="25" t="n">
        <v>369</v>
      </c>
      <c r="G404" s="25" t="n">
        <v>-176</v>
      </c>
      <c r="H404" s="25" t="n">
        <v>100</v>
      </c>
      <c r="I404" s="25" t="n">
        <v>-393</v>
      </c>
      <c r="J404" s="25" t="n">
        <v>-247</v>
      </c>
      <c r="K404" s="25" t="n">
        <v>0</v>
      </c>
      <c r="L404" s="25" t="n">
        <v>0</v>
      </c>
      <c r="M404" s="25" t="n">
        <v>0</v>
      </c>
      <c r="N404" s="25" t="n">
        <v>0</v>
      </c>
      <c r="O404" s="25" t="n">
        <v>0</v>
      </c>
      <c r="P404" s="21" t="n">
        <f aca="false">SUM(D404:O404)</f>
        <v>985</v>
      </c>
      <c r="Q404" s="25" t="n">
        <f aca="false">SUM(D404:J404)</f>
        <v>985</v>
      </c>
      <c r="R404" s="21" t="n">
        <f aca="false">P404-Q404</f>
        <v>0</v>
      </c>
    </row>
    <row r="405" customFormat="false" ht="12.75" hidden="false" customHeight="false" outlineLevel="0" collapsed="false">
      <c r="A405" s="22" t="s">
        <v>229</v>
      </c>
      <c r="B405" s="27"/>
      <c r="C405" s="25" t="n">
        <v>200</v>
      </c>
      <c r="D405" s="25" t="n">
        <v>0</v>
      </c>
      <c r="E405" s="25" t="n">
        <v>0</v>
      </c>
      <c r="F405" s="25" t="n">
        <v>0</v>
      </c>
      <c r="G405" s="25" t="n">
        <v>0</v>
      </c>
      <c r="H405" s="25" t="n">
        <v>0</v>
      </c>
      <c r="I405" s="25" t="n">
        <v>0</v>
      </c>
      <c r="J405" s="25" t="n">
        <v>0</v>
      </c>
      <c r="K405" s="25" t="n">
        <v>0</v>
      </c>
      <c r="L405" s="25" t="n">
        <v>0</v>
      </c>
      <c r="M405" s="25" t="n">
        <v>0</v>
      </c>
      <c r="N405" s="25" t="n">
        <v>0</v>
      </c>
      <c r="O405" s="25" t="n">
        <v>0</v>
      </c>
      <c r="P405" s="21" t="n">
        <f aca="false">SUM(D405:O405)</f>
        <v>0</v>
      </c>
      <c r="Q405" s="25" t="n">
        <f aca="false">SUM(D405:J405)</f>
        <v>0</v>
      </c>
      <c r="R405" s="21" t="n">
        <f aca="false">P405-Q405</f>
        <v>0</v>
      </c>
    </row>
    <row r="406" customFormat="false" ht="12.75" hidden="false" customHeight="false" outlineLevel="0" collapsed="false">
      <c r="A406" s="22" t="s">
        <v>230</v>
      </c>
      <c r="C406" s="25" t="n">
        <v>147</v>
      </c>
      <c r="D406" s="25" t="n">
        <v>7</v>
      </c>
      <c r="E406" s="25" t="n">
        <v>0</v>
      </c>
      <c r="F406" s="25" t="n">
        <v>-20</v>
      </c>
      <c r="G406" s="26" t="n">
        <f aca="false">43+14</f>
        <v>57</v>
      </c>
      <c r="H406" s="26" t="n">
        <f aca="false">141+5</f>
        <v>146</v>
      </c>
      <c r="I406" s="25" t="n">
        <v>-90</v>
      </c>
      <c r="J406" s="26" t="n">
        <f aca="false">-78+10</f>
        <v>-68</v>
      </c>
      <c r="K406" s="25" t="n">
        <v>0</v>
      </c>
      <c r="L406" s="25" t="n">
        <v>0</v>
      </c>
      <c r="M406" s="25" t="n">
        <v>0</v>
      </c>
      <c r="N406" s="25" t="n">
        <v>0</v>
      </c>
      <c r="O406" s="25" t="n">
        <v>0</v>
      </c>
      <c r="P406" s="21" t="n">
        <f aca="false">SUM(D406:O406)</f>
        <v>32</v>
      </c>
      <c r="Q406" s="25" t="n">
        <f aca="false">SUM(D406:J406)</f>
        <v>32</v>
      </c>
      <c r="R406" s="21" t="n">
        <f aca="false">P406-Q406</f>
        <v>0</v>
      </c>
    </row>
    <row r="407" customFormat="false" ht="12.75" hidden="false" customHeight="false" outlineLevel="0" collapsed="false">
      <c r="A407" s="22" t="s">
        <v>231</v>
      </c>
      <c r="B407" s="27"/>
      <c r="C407" s="25" t="n">
        <v>1000</v>
      </c>
      <c r="D407" s="25" t="n">
        <v>0</v>
      </c>
      <c r="E407" s="25" t="n">
        <v>0</v>
      </c>
      <c r="F407" s="25" t="n">
        <v>0</v>
      </c>
      <c r="G407" s="25" t="n">
        <v>0</v>
      </c>
      <c r="H407" s="25" t="n">
        <v>0</v>
      </c>
      <c r="I407" s="25" t="n">
        <v>0</v>
      </c>
      <c r="J407" s="25" t="n">
        <v>0</v>
      </c>
      <c r="K407" s="25" t="n">
        <v>0</v>
      </c>
      <c r="L407" s="25" t="n">
        <v>0</v>
      </c>
      <c r="M407" s="25" t="n">
        <v>0</v>
      </c>
      <c r="N407" s="25" t="n">
        <v>0</v>
      </c>
      <c r="O407" s="25" t="n">
        <v>0</v>
      </c>
      <c r="P407" s="21" t="n">
        <f aca="false">SUM(D407:O407)</f>
        <v>0</v>
      </c>
      <c r="Q407" s="25" t="n">
        <f aca="false">SUM(D407:J407)</f>
        <v>0</v>
      </c>
      <c r="R407" s="21" t="n">
        <f aca="false">P407-Q407</f>
        <v>0</v>
      </c>
    </row>
    <row r="408" customFormat="false" ht="12.75" hidden="false" customHeight="false" outlineLevel="0" collapsed="false">
      <c r="A408" s="22" t="s">
        <v>232</v>
      </c>
      <c r="B408" s="27"/>
      <c r="C408" s="25" t="n">
        <v>0</v>
      </c>
      <c r="D408" s="26" t="n">
        <f aca="false">-2811+291</f>
        <v>-2520</v>
      </c>
      <c r="E408" s="26" t="n">
        <f aca="false">2808+139</f>
        <v>2947</v>
      </c>
      <c r="F408" s="26" t="n">
        <f aca="false">144-16-4</f>
        <v>124</v>
      </c>
      <c r="G408" s="26" t="n">
        <f aca="false">86+8</f>
        <v>94</v>
      </c>
      <c r="H408" s="26" t="n">
        <f aca="false">65-1</f>
        <v>64</v>
      </c>
      <c r="I408" s="26" t="n">
        <f aca="false">295+29-1</f>
        <v>323</v>
      </c>
      <c r="J408" s="25" t="n">
        <f aca="false">-1+247</f>
        <v>246</v>
      </c>
      <c r="K408" s="25" t="n">
        <v>0</v>
      </c>
      <c r="L408" s="25" t="n">
        <v>0</v>
      </c>
      <c r="M408" s="25" t="n">
        <v>0</v>
      </c>
      <c r="N408" s="25" t="n">
        <v>0</v>
      </c>
      <c r="O408" s="25" t="n">
        <v>0</v>
      </c>
      <c r="P408" s="21" t="n">
        <f aca="false">SUM(D408:O408)</f>
        <v>1278</v>
      </c>
      <c r="Q408" s="25" t="n">
        <f aca="false">SUM(D408:J408)</f>
        <v>1278</v>
      </c>
      <c r="R408" s="21" t="n">
        <f aca="false">P408-Q408</f>
        <v>0</v>
      </c>
    </row>
    <row r="409" customFormat="false" ht="12.75" hidden="false" customHeight="false" outlineLevel="0" collapsed="false">
      <c r="A409" s="22" t="s">
        <v>233</v>
      </c>
      <c r="C409" s="25" t="n">
        <v>9219</v>
      </c>
      <c r="D409" s="37" t="n">
        <f aca="false">-[1]Source!D69-[1]Source!D58-103</f>
        <v>0</v>
      </c>
      <c r="E409" s="31" t="n">
        <f aca="false">-[1]Source!E69-[1]Source!E58</f>
        <v>-0</v>
      </c>
      <c r="F409" s="31" t="n">
        <f aca="false">-[1]Source!F69-[1]Source!F58</f>
        <v>-0</v>
      </c>
      <c r="G409" s="31" t="n">
        <f aca="false">-[1]Source!G69-[1]Source!G58</f>
        <v>-0</v>
      </c>
      <c r="H409" s="31" t="n">
        <f aca="false">-[1]Source!H69-[1]Source!H58</f>
        <v>-0</v>
      </c>
      <c r="I409" s="31" t="n">
        <f aca="false">-[1]Source!I69-[1]Source!I58</f>
        <v>-0</v>
      </c>
      <c r="J409" s="31" t="n">
        <f aca="false">-[1]Source!J69-[1]Source!J58</f>
        <v>-0</v>
      </c>
      <c r="K409" s="31" t="n">
        <f aca="false">-[1]Source!K69-[1]Source!K58</f>
        <v>-0</v>
      </c>
      <c r="L409" s="31" t="n">
        <f aca="false">-[1]Source!L69-[1]Source!L58</f>
        <v>-0</v>
      </c>
      <c r="M409" s="33" t="n">
        <f aca="false">-[1]Source!M69-[1]Source!M58+9675+346+M81+M82</f>
        <v>802</v>
      </c>
      <c r="N409" s="31" t="n">
        <f aca="false">-[1]Source!N69-[1]Source!N58</f>
        <v>-0</v>
      </c>
      <c r="O409" s="32" t="n">
        <f aca="false">-[1]Source!O69-[1]Source!O58-9675-346</f>
        <v>-10021</v>
      </c>
      <c r="P409" s="21" t="n">
        <f aca="false">SUM(D409:O409)</f>
        <v>-9219</v>
      </c>
      <c r="Q409" s="25" t="n">
        <f aca="false">SUM(D409:J409)</f>
        <v>0</v>
      </c>
      <c r="R409" s="21" t="n">
        <f aca="false">P409-Q409</f>
        <v>-9219</v>
      </c>
    </row>
    <row r="410" customFormat="false" ht="12.75" hidden="false" customHeight="false" outlineLevel="0" collapsed="false">
      <c r="A410" s="22" t="s">
        <v>234</v>
      </c>
      <c r="C410" s="25" t="n">
        <v>898</v>
      </c>
      <c r="D410" s="25" t="n">
        <v>0</v>
      </c>
      <c r="E410" s="25" t="n">
        <v>0</v>
      </c>
      <c r="F410" s="25" t="n">
        <v>0</v>
      </c>
      <c r="G410" s="25" t="n">
        <v>0</v>
      </c>
      <c r="H410" s="25" t="n">
        <v>0</v>
      </c>
      <c r="I410" s="25" t="n">
        <v>0</v>
      </c>
      <c r="J410" s="25" t="n">
        <v>0</v>
      </c>
      <c r="K410" s="25" t="n">
        <v>0</v>
      </c>
      <c r="L410" s="25" t="n">
        <v>0</v>
      </c>
      <c r="M410" s="25" t="n">
        <v>0</v>
      </c>
      <c r="N410" s="25" t="n">
        <v>0</v>
      </c>
      <c r="O410" s="25" t="n">
        <v>0</v>
      </c>
      <c r="P410" s="21" t="n">
        <f aca="false">SUM(D410:O410)</f>
        <v>0</v>
      </c>
      <c r="Q410" s="25" t="n">
        <f aca="false">SUM(D410:J410)</f>
        <v>0</v>
      </c>
      <c r="R410" s="21" t="n">
        <f aca="false">P410-Q410</f>
        <v>0</v>
      </c>
    </row>
    <row r="411" customFormat="false" ht="12.75" hidden="false" customHeight="false" outlineLevel="0" collapsed="false">
      <c r="A411" s="22" t="s">
        <v>235</v>
      </c>
      <c r="C411" s="25" t="n">
        <v>118</v>
      </c>
      <c r="D411" s="25" t="n">
        <v>12</v>
      </c>
      <c r="E411" s="25" t="n">
        <v>0</v>
      </c>
      <c r="F411" s="25" t="n">
        <v>16</v>
      </c>
      <c r="G411" s="25" t="n">
        <v>11</v>
      </c>
      <c r="H411" s="25" t="n">
        <v>11</v>
      </c>
      <c r="I411" s="25" t="n">
        <v>-26</v>
      </c>
      <c r="J411" s="25" t="n">
        <v>11</v>
      </c>
      <c r="K411" s="25" t="n">
        <v>0</v>
      </c>
      <c r="L411" s="25" t="n">
        <v>0</v>
      </c>
      <c r="M411" s="25" t="n">
        <v>0</v>
      </c>
      <c r="N411" s="25" t="n">
        <v>0</v>
      </c>
      <c r="O411" s="25" t="n">
        <v>0</v>
      </c>
      <c r="P411" s="21" t="n">
        <f aca="false">SUM(D411:O411)</f>
        <v>35</v>
      </c>
      <c r="Q411" s="25" t="n">
        <f aca="false">SUM(D411:J411)</f>
        <v>35</v>
      </c>
      <c r="R411" s="21" t="n">
        <f aca="false">P411-Q411</f>
        <v>0</v>
      </c>
    </row>
    <row r="412" customFormat="false" ht="12.75" hidden="false" customHeight="false" outlineLevel="0" collapsed="false">
      <c r="A412" s="22" t="s">
        <v>236</v>
      </c>
      <c r="C412" s="25" t="n">
        <v>47</v>
      </c>
      <c r="D412" s="25" t="n">
        <v>0</v>
      </c>
      <c r="E412" s="25" t="n">
        <v>0</v>
      </c>
      <c r="F412" s="25" t="n">
        <v>0</v>
      </c>
      <c r="G412" s="25" t="n">
        <v>0</v>
      </c>
      <c r="H412" s="25" t="n">
        <v>0</v>
      </c>
      <c r="I412" s="25" t="n">
        <v>0</v>
      </c>
      <c r="J412" s="25" t="n">
        <v>0</v>
      </c>
      <c r="K412" s="25" t="n">
        <v>0</v>
      </c>
      <c r="L412" s="25" t="n">
        <v>0</v>
      </c>
      <c r="M412" s="25" t="n">
        <v>0</v>
      </c>
      <c r="N412" s="25" t="n">
        <v>0</v>
      </c>
      <c r="O412" s="25" t="n">
        <v>0</v>
      </c>
      <c r="P412" s="21" t="n">
        <f aca="false">SUM(D412:O412)</f>
        <v>0</v>
      </c>
      <c r="Q412" s="25" t="n">
        <f aca="false">SUM(D412:J412)</f>
        <v>0</v>
      </c>
      <c r="R412" s="21" t="n">
        <f aca="false">P412-Q412</f>
        <v>0</v>
      </c>
    </row>
    <row r="413" customFormat="false" ht="12.75" hidden="false" customHeight="false" outlineLevel="0" collapsed="false">
      <c r="A413" s="22" t="s">
        <v>237</v>
      </c>
      <c r="C413" s="25" t="n">
        <v>0</v>
      </c>
      <c r="D413" s="25" t="n">
        <v>0</v>
      </c>
      <c r="E413" s="25" t="n">
        <v>0</v>
      </c>
      <c r="F413" s="25" t="n">
        <v>0</v>
      </c>
      <c r="G413" s="25" t="n">
        <v>0</v>
      </c>
      <c r="H413" s="25" t="n">
        <v>0</v>
      </c>
      <c r="I413" s="25" t="n">
        <v>0</v>
      </c>
      <c r="J413" s="25" t="n">
        <v>0</v>
      </c>
      <c r="K413" s="25" t="n">
        <v>0</v>
      </c>
      <c r="L413" s="25" t="n">
        <v>0</v>
      </c>
      <c r="M413" s="25" t="n">
        <v>0</v>
      </c>
      <c r="N413" s="25" t="n">
        <v>0</v>
      </c>
      <c r="O413" s="25" t="n">
        <v>0</v>
      </c>
      <c r="P413" s="21" t="n">
        <f aca="false">SUM(D413:O413)</f>
        <v>0</v>
      </c>
      <c r="Q413" s="25" t="n">
        <f aca="false">SUM(D413:J413)</f>
        <v>0</v>
      </c>
      <c r="R413" s="21" t="n">
        <f aca="false">P413-Q413</f>
        <v>0</v>
      </c>
    </row>
    <row r="414" customFormat="false" ht="12.75" hidden="false" customHeight="false" outlineLevel="0" collapsed="false">
      <c r="A414" s="22" t="s">
        <v>50</v>
      </c>
      <c r="C414" s="23" t="n">
        <v>0</v>
      </c>
      <c r="D414" s="23" t="n">
        <v>0</v>
      </c>
      <c r="E414" s="23" t="n">
        <v>1</v>
      </c>
      <c r="F414" s="23" t="n">
        <v>-1</v>
      </c>
      <c r="G414" s="23" t="n">
        <v>0</v>
      </c>
      <c r="H414" s="23" t="n">
        <v>0</v>
      </c>
      <c r="I414" s="23" t="n">
        <v>0</v>
      </c>
      <c r="J414" s="23" t="n">
        <v>0</v>
      </c>
      <c r="K414" s="23" t="n">
        <v>0</v>
      </c>
      <c r="L414" s="23" t="n">
        <v>0</v>
      </c>
      <c r="M414" s="23" t="n">
        <v>0</v>
      </c>
      <c r="N414" s="23" t="n">
        <v>0</v>
      </c>
      <c r="O414" s="23" t="n">
        <v>0</v>
      </c>
      <c r="P414" s="24" t="n">
        <f aca="false">SUM(D414:O414)</f>
        <v>0</v>
      </c>
      <c r="Q414" s="23" t="n">
        <f aca="false">SUM(D414:J414)</f>
        <v>0</v>
      </c>
      <c r="R414" s="24" t="n">
        <f aca="false">P414-Q414</f>
        <v>0</v>
      </c>
    </row>
    <row r="415" customFormat="false" ht="3.95" hidden="false" customHeight="true" outlineLevel="0" collapsed="false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customFormat="false" ht="12.75" hidden="false" customHeight="false" outlineLevel="0" collapsed="false">
      <c r="A416" s="20" t="s">
        <v>238</v>
      </c>
      <c r="C416" s="21" t="n">
        <f aca="false">SUM(C402:C415)</f>
        <v>17841</v>
      </c>
      <c r="D416" s="21" t="n">
        <f aca="false">SUM(D401:D415)</f>
        <v>15857</v>
      </c>
      <c r="E416" s="21" t="n">
        <f aca="false">SUM(E401:E415)</f>
        <v>19620</v>
      </c>
      <c r="F416" s="21" t="n">
        <f aca="false">SUM(F401:F415)</f>
        <v>20108</v>
      </c>
      <c r="G416" s="21" t="n">
        <f aca="false">SUM(G401:G415)</f>
        <v>20094</v>
      </c>
      <c r="H416" s="21" t="n">
        <f aca="false">SUM(H401:H415)</f>
        <v>20415</v>
      </c>
      <c r="I416" s="21" t="n">
        <f aca="false">SUM(I401:I415)</f>
        <v>20229</v>
      </c>
      <c r="J416" s="21" t="n">
        <f aca="false">SUM(J401:J415)</f>
        <v>20016</v>
      </c>
      <c r="K416" s="21" t="n">
        <f aca="false">SUM(K401:K415)</f>
        <v>19881</v>
      </c>
      <c r="L416" s="21" t="n">
        <f aca="false">SUM(L401:L415)</f>
        <v>19681</v>
      </c>
      <c r="M416" s="21" t="n">
        <f aca="false">SUM(M401:M415)</f>
        <v>20256</v>
      </c>
      <c r="N416" s="21" t="n">
        <f aca="false">SUM(N401:N415)</f>
        <v>20119</v>
      </c>
      <c r="O416" s="21" t="n">
        <f aca="false">SUM(O401:O415)</f>
        <v>9960</v>
      </c>
      <c r="P416" s="21"/>
    </row>
    <row r="417" customFormat="false" ht="3.95" hidden="false" customHeight="true" outlineLevel="0" collapsed="false"/>
    <row r="418" customFormat="false" ht="12.75" hidden="false" customHeight="false" outlineLevel="0" collapsed="false">
      <c r="A418" s="22" t="s">
        <v>30</v>
      </c>
      <c r="C418" s="21"/>
      <c r="D418" s="21" t="n">
        <f aca="false">D416-C416</f>
        <v>-1984</v>
      </c>
      <c r="E418" s="21" t="n">
        <f aca="false">E416-D416</f>
        <v>3763</v>
      </c>
      <c r="F418" s="21" t="n">
        <f aca="false">F416-E416</f>
        <v>488</v>
      </c>
      <c r="G418" s="21" t="n">
        <f aca="false">G416-F416</f>
        <v>-14</v>
      </c>
      <c r="H418" s="21" t="n">
        <f aca="false">H416-G416</f>
        <v>321</v>
      </c>
      <c r="I418" s="21" t="n">
        <f aca="false">I416-H416</f>
        <v>-186</v>
      </c>
      <c r="J418" s="21" t="n">
        <f aca="false">J416-I416</f>
        <v>-213</v>
      </c>
      <c r="K418" s="21" t="n">
        <f aca="false">K416-J416</f>
        <v>-135</v>
      </c>
      <c r="L418" s="21" t="n">
        <f aca="false">L416-K416</f>
        <v>-200</v>
      </c>
      <c r="M418" s="21" t="n">
        <f aca="false">M416-L416</f>
        <v>575</v>
      </c>
      <c r="N418" s="21" t="n">
        <f aca="false">N416-M416</f>
        <v>-137</v>
      </c>
      <c r="O418" s="21" t="n">
        <f aca="false">O416-N416</f>
        <v>-10159</v>
      </c>
      <c r="P418" s="21" t="n">
        <f aca="false">SUM(D418:O418)</f>
        <v>-7881</v>
      </c>
      <c r="Q418" s="21" t="n">
        <f aca="false">SUM(Q402:Q415)</f>
        <v>2175</v>
      </c>
      <c r="R418" s="21" t="n">
        <f aca="false">P418-Q418</f>
        <v>-10056</v>
      </c>
    </row>
    <row r="420" customFormat="false" ht="12.75" hidden="false" customHeight="false" outlineLevel="0" collapsed="false">
      <c r="A420" s="20" t="s">
        <v>239</v>
      </c>
      <c r="D420" s="21" t="n">
        <f aca="false">C427</f>
        <v>12256</v>
      </c>
      <c r="E420" s="21" t="n">
        <f aca="false">D427</f>
        <v>19361</v>
      </c>
      <c r="F420" s="21" t="n">
        <f aca="false">E427</f>
        <v>10590</v>
      </c>
      <c r="G420" s="21" t="n">
        <f aca="false">F427</f>
        <v>9548</v>
      </c>
      <c r="H420" s="21" t="n">
        <f aca="false">G427</f>
        <v>8526</v>
      </c>
      <c r="I420" s="21" t="n">
        <f aca="false">H427</f>
        <v>4870</v>
      </c>
      <c r="J420" s="21" t="n">
        <f aca="false">I427</f>
        <v>5420</v>
      </c>
      <c r="K420" s="21" t="n">
        <f aca="false">J427</f>
        <v>2887</v>
      </c>
      <c r="L420" s="21" t="n">
        <f aca="false">K427</f>
        <v>2815</v>
      </c>
      <c r="M420" s="21" t="n">
        <f aca="false">L427</f>
        <v>2816</v>
      </c>
      <c r="N420" s="21" t="n">
        <f aca="false">M427</f>
        <v>2817</v>
      </c>
      <c r="O420" s="21" t="n">
        <f aca="false">N427</f>
        <v>3407</v>
      </c>
    </row>
    <row r="421" customFormat="false" ht="12.75" hidden="false" customHeight="false" outlineLevel="0" collapsed="false">
      <c r="A421" s="22" t="s">
        <v>240</v>
      </c>
      <c r="C421" s="25" t="n">
        <v>1642</v>
      </c>
      <c r="D421" s="25" t="n">
        <v>8301</v>
      </c>
      <c r="E421" s="25" t="n">
        <v>-7171</v>
      </c>
      <c r="F421" s="25" t="n">
        <v>-13</v>
      </c>
      <c r="G421" s="25" t="n">
        <v>0</v>
      </c>
      <c r="H421" s="25" t="n">
        <v>13</v>
      </c>
      <c r="I421" s="25" t="n">
        <v>0</v>
      </c>
      <c r="J421" s="25" t="n">
        <v>0</v>
      </c>
      <c r="K421" s="25" t="n">
        <v>0</v>
      </c>
      <c r="L421" s="25" t="n">
        <v>0</v>
      </c>
      <c r="M421" s="25" t="n">
        <v>0</v>
      </c>
      <c r="N421" s="25" t="n">
        <v>0</v>
      </c>
      <c r="O421" s="25" t="n">
        <v>0</v>
      </c>
      <c r="P421" s="21" t="n">
        <f aca="false">SUM(D421:O421)</f>
        <v>1130</v>
      </c>
      <c r="Q421" s="25" t="n">
        <f aca="false">SUM(D421:J421)</f>
        <v>1130</v>
      </c>
      <c r="R421" s="21" t="n">
        <f aca="false">P421-Q421</f>
        <v>0</v>
      </c>
    </row>
    <row r="422" customFormat="false" ht="12.75" hidden="false" customHeight="false" outlineLevel="0" collapsed="false">
      <c r="A422" s="22" t="s">
        <v>241</v>
      </c>
      <c r="B422" s="27" t="s">
        <v>34</v>
      </c>
      <c r="C422" s="25" t="n">
        <v>1099</v>
      </c>
      <c r="D422" s="21" t="n">
        <f aca="false">-[1]Source!D22+[1]Source!D65</f>
        <v>730</v>
      </c>
      <c r="E422" s="21" t="n">
        <f aca="false">-[1]Source!E22+[1]Source!E65</f>
        <v>534</v>
      </c>
      <c r="F422" s="30" t="n">
        <f aca="false">-[1]Source!F22+[1]Source!F65-1</f>
        <v>543</v>
      </c>
      <c r="G422" s="30" t="n">
        <f aca="false">-[1]Source!G22+[1]Source!G65-10</f>
        <v>52</v>
      </c>
      <c r="H422" s="37" t="n">
        <f aca="false">-[1]Source!H22+[1]Source!H65+12+1</f>
        <v>-2841</v>
      </c>
      <c r="I422" s="21" t="n">
        <f aca="false">-[1]Source!I22+[1]Source!I65</f>
        <v>-5</v>
      </c>
      <c r="J422" s="21" t="n">
        <f aca="false">-[1]Source!J22+[1]Source!J65</f>
        <v>1</v>
      </c>
      <c r="K422" s="21" t="n">
        <f aca="false">-[1]Source!K22+[1]Source!K65</f>
        <v>0</v>
      </c>
      <c r="L422" s="21" t="n">
        <f aca="false">-[1]Source!L22+[1]Source!L65</f>
        <v>1</v>
      </c>
      <c r="M422" s="21" t="n">
        <f aca="false">-[1]Source!M22+[1]Source!M65</f>
        <v>1</v>
      </c>
      <c r="N422" s="21" t="n">
        <f aca="false">-[1]Source!N22+[1]Source!N65</f>
        <v>590</v>
      </c>
      <c r="O422" s="21" t="n">
        <f aca="false">-[1]Source!O22+[1]Source!O65</f>
        <v>594</v>
      </c>
      <c r="P422" s="21" t="n">
        <f aca="false">SUM(D422:O422)</f>
        <v>200</v>
      </c>
      <c r="Q422" s="25" t="n">
        <f aca="false">SUM(D422:J422)</f>
        <v>-986</v>
      </c>
      <c r="R422" s="21" t="n">
        <f aca="false">P422-Q422</f>
        <v>1186</v>
      </c>
    </row>
    <row r="423" customFormat="false" ht="12.75" hidden="false" customHeight="false" outlineLevel="0" collapsed="false">
      <c r="A423" s="22" t="s">
        <v>242</v>
      </c>
      <c r="B423" s="27" t="s">
        <v>34</v>
      </c>
      <c r="C423" s="25" t="n">
        <v>9515</v>
      </c>
      <c r="D423" s="21" t="n">
        <f aca="false">-[1]Source!D42</f>
        <v>-1926</v>
      </c>
      <c r="E423" s="30" t="n">
        <f aca="false">-[1]Source!E42+2</f>
        <v>-2135</v>
      </c>
      <c r="F423" s="30" t="n">
        <f aca="false">-[1]Source!F42-2</f>
        <v>-1572</v>
      </c>
      <c r="G423" s="21" t="n">
        <f aca="false">-[1]Source!G42</f>
        <v>-1074</v>
      </c>
      <c r="H423" s="21" t="n">
        <f aca="false">-[1]Source!H42</f>
        <v>-828</v>
      </c>
      <c r="I423" s="21" t="n">
        <f aca="false">-[1]Source!I42</f>
        <v>555</v>
      </c>
      <c r="J423" s="41" t="n">
        <f aca="false">-[1]Source!J42+1025</f>
        <v>-2534</v>
      </c>
      <c r="K423" s="21" t="n">
        <f aca="false">-[1]Source!K42</f>
        <v>-72</v>
      </c>
      <c r="L423" s="21" t="n">
        <f aca="false">-[1]Source!L42</f>
        <v>-0</v>
      </c>
      <c r="M423" s="21" t="n">
        <f aca="false">-[1]Source!M42</f>
        <v>-0</v>
      </c>
      <c r="N423" s="21" t="n">
        <f aca="false">-[1]Source!N42</f>
        <v>-0</v>
      </c>
      <c r="O423" s="21" t="n">
        <f aca="false">-[1]Source!O42</f>
        <v>-0</v>
      </c>
      <c r="P423" s="21" t="n">
        <f aca="false">SUM(D423:O423)</f>
        <v>-9586</v>
      </c>
      <c r="Q423" s="25" t="n">
        <f aca="false">SUM(D423:J423)</f>
        <v>-9514</v>
      </c>
      <c r="R423" s="21" t="n">
        <f aca="false">P423-Q423</f>
        <v>-72</v>
      </c>
    </row>
    <row r="424" customFormat="false" ht="12.75" hidden="false" customHeight="false" outlineLevel="0" collapsed="false">
      <c r="A424" s="22" t="s">
        <v>41</v>
      </c>
      <c r="B424" s="27"/>
      <c r="C424" s="25" t="n">
        <v>0</v>
      </c>
      <c r="D424" s="25" t="n">
        <v>0</v>
      </c>
      <c r="E424" s="25" t="n">
        <v>0</v>
      </c>
      <c r="F424" s="25" t="n">
        <v>0</v>
      </c>
      <c r="G424" s="25" t="n">
        <v>0</v>
      </c>
      <c r="H424" s="25" t="n">
        <v>0</v>
      </c>
      <c r="I424" s="25" t="n">
        <v>0</v>
      </c>
      <c r="J424" s="25" t="n">
        <v>0</v>
      </c>
      <c r="K424" s="25" t="n">
        <v>0</v>
      </c>
      <c r="L424" s="25" t="n">
        <v>0</v>
      </c>
      <c r="M424" s="25" t="n">
        <v>0</v>
      </c>
      <c r="N424" s="25" t="n">
        <v>0</v>
      </c>
      <c r="O424" s="25" t="n">
        <v>0</v>
      </c>
      <c r="P424" s="21" t="n">
        <f aca="false">SUM(D424:O424)</f>
        <v>0</v>
      </c>
      <c r="Q424" s="25" t="n">
        <f aca="false">SUM(D424:J424)</f>
        <v>0</v>
      </c>
      <c r="R424" s="21" t="n">
        <f aca="false">P424-Q424</f>
        <v>0</v>
      </c>
    </row>
    <row r="425" customFormat="false" ht="12.75" hidden="false" customHeight="false" outlineLevel="0" collapsed="false">
      <c r="A425" s="22" t="s">
        <v>50</v>
      </c>
      <c r="C425" s="23" t="n">
        <v>0</v>
      </c>
      <c r="D425" s="23" t="n">
        <v>0</v>
      </c>
      <c r="E425" s="23" t="n">
        <v>1</v>
      </c>
      <c r="F425" s="23" t="n">
        <v>0</v>
      </c>
      <c r="G425" s="23" t="n">
        <v>0</v>
      </c>
      <c r="H425" s="23" t="n">
        <v>0</v>
      </c>
      <c r="I425" s="23" t="n">
        <v>0</v>
      </c>
      <c r="J425" s="23" t="n">
        <v>0</v>
      </c>
      <c r="K425" s="23" t="n">
        <v>0</v>
      </c>
      <c r="L425" s="23" t="n">
        <v>0</v>
      </c>
      <c r="M425" s="23" t="n">
        <v>0</v>
      </c>
      <c r="N425" s="23" t="n">
        <v>0</v>
      </c>
      <c r="O425" s="23" t="n">
        <v>0</v>
      </c>
      <c r="P425" s="24" t="n">
        <f aca="false">SUM(D425:O425)</f>
        <v>1</v>
      </c>
      <c r="Q425" s="23" t="n">
        <f aca="false">SUM(D425:J425)</f>
        <v>1</v>
      </c>
      <c r="R425" s="24" t="n">
        <f aca="false">P425-Q425</f>
        <v>0</v>
      </c>
    </row>
    <row r="426" customFormat="false" ht="3.95" hidden="false" customHeight="true" outlineLevel="0" collapsed="false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5"/>
      <c r="R426" s="21"/>
    </row>
    <row r="427" customFormat="false" ht="12.75" hidden="false" customHeight="false" outlineLevel="0" collapsed="false">
      <c r="A427" s="20" t="s">
        <v>243</v>
      </c>
      <c r="C427" s="21" t="n">
        <f aca="false">SUM(C420:C426)</f>
        <v>12256</v>
      </c>
      <c r="D427" s="21" t="n">
        <f aca="false">SUM(D420:D426)</f>
        <v>19361</v>
      </c>
      <c r="E427" s="21" t="n">
        <f aca="false">SUM(E420:E426)</f>
        <v>10590</v>
      </c>
      <c r="F427" s="21" t="n">
        <f aca="false">SUM(F420:F426)</f>
        <v>9548</v>
      </c>
      <c r="G427" s="21" t="n">
        <f aca="false">SUM(G420:G426)</f>
        <v>8526</v>
      </c>
      <c r="H427" s="21" t="n">
        <f aca="false">SUM(H420:H426)</f>
        <v>4870</v>
      </c>
      <c r="I427" s="21" t="n">
        <f aca="false">SUM(I420:I426)</f>
        <v>5420</v>
      </c>
      <c r="J427" s="21" t="n">
        <f aca="false">SUM(J420:J426)</f>
        <v>2887</v>
      </c>
      <c r="K427" s="21" t="n">
        <f aca="false">SUM(K420:K426)</f>
        <v>2815</v>
      </c>
      <c r="L427" s="21" t="n">
        <f aca="false">SUM(L420:L426)</f>
        <v>2816</v>
      </c>
      <c r="M427" s="21" t="n">
        <f aca="false">SUM(M420:M426)</f>
        <v>2817</v>
      </c>
      <c r="N427" s="21" t="n">
        <f aca="false">SUM(N420:N426)</f>
        <v>3407</v>
      </c>
      <c r="O427" s="21" t="n">
        <f aca="false">SUM(O420:O426)</f>
        <v>4001</v>
      </c>
      <c r="P427" s="21"/>
    </row>
    <row r="428" customFormat="false" ht="3.95" hidden="false" customHeight="true" outlineLevel="0" collapsed="false"/>
    <row r="429" customFormat="false" ht="12.75" hidden="false" customHeight="false" outlineLevel="0" collapsed="false">
      <c r="A429" s="22" t="s">
        <v>30</v>
      </c>
      <c r="C429" s="21"/>
      <c r="D429" s="21" t="n">
        <f aca="false">D427-C427</f>
        <v>7105</v>
      </c>
      <c r="E429" s="21" t="n">
        <f aca="false">E427-D427</f>
        <v>-8771</v>
      </c>
      <c r="F429" s="21" t="n">
        <f aca="false">F427-E427</f>
        <v>-1042</v>
      </c>
      <c r="G429" s="21" t="n">
        <f aca="false">G427-F427</f>
        <v>-1022</v>
      </c>
      <c r="H429" s="21" t="n">
        <f aca="false">H427-G427</f>
        <v>-3656</v>
      </c>
      <c r="I429" s="21" t="n">
        <f aca="false">I427-H427</f>
        <v>550</v>
      </c>
      <c r="J429" s="21" t="n">
        <f aca="false">J427-I427</f>
        <v>-2533</v>
      </c>
      <c r="K429" s="21" t="n">
        <f aca="false">K427-J427</f>
        <v>-72</v>
      </c>
      <c r="L429" s="21" t="n">
        <f aca="false">L427-K427</f>
        <v>1</v>
      </c>
      <c r="M429" s="21" t="n">
        <f aca="false">M427-L427</f>
        <v>1</v>
      </c>
      <c r="N429" s="21" t="n">
        <f aca="false">N427-M427</f>
        <v>590</v>
      </c>
      <c r="O429" s="21" t="n">
        <f aca="false">O427-N427</f>
        <v>594</v>
      </c>
      <c r="P429" s="21" t="n">
        <f aca="false">SUM(D429:O429)</f>
        <v>-8255</v>
      </c>
      <c r="Q429" s="21" t="n">
        <f aca="false">SUM(Q425:Q426)</f>
        <v>1</v>
      </c>
      <c r="R429" s="21" t="n">
        <f aca="false">P429-Q429</f>
        <v>-8256</v>
      </c>
    </row>
    <row r="431" customFormat="false" ht="12.75" hidden="false" customHeight="false" outlineLevel="0" collapsed="false">
      <c r="A431" s="20" t="s">
        <v>244</v>
      </c>
      <c r="D431" s="21" t="n">
        <f aca="false">C436</f>
        <v>0</v>
      </c>
      <c r="E431" s="21" t="n">
        <f aca="false">D436</f>
        <v>0</v>
      </c>
      <c r="F431" s="21" t="n">
        <f aca="false">E436</f>
        <v>0</v>
      </c>
      <c r="G431" s="21" t="n">
        <f aca="false">F436</f>
        <v>0</v>
      </c>
      <c r="H431" s="21" t="n">
        <f aca="false">G436</f>
        <v>0</v>
      </c>
      <c r="I431" s="21" t="n">
        <f aca="false">H436</f>
        <v>0</v>
      </c>
      <c r="J431" s="21" t="n">
        <f aca="false">I436</f>
        <v>0</v>
      </c>
      <c r="K431" s="21" t="n">
        <f aca="false">J436</f>
        <v>0</v>
      </c>
      <c r="L431" s="21" t="n">
        <f aca="false">K436</f>
        <v>0</v>
      </c>
      <c r="M431" s="21" t="n">
        <f aca="false">L436</f>
        <v>0</v>
      </c>
      <c r="N431" s="21" t="n">
        <f aca="false">M436</f>
        <v>0</v>
      </c>
      <c r="O431" s="21" t="n">
        <f aca="false">N436</f>
        <v>0</v>
      </c>
    </row>
    <row r="432" customFormat="false" ht="12.75" hidden="false" customHeight="false" outlineLevel="0" collapsed="false">
      <c r="A432" s="22" t="s">
        <v>41</v>
      </c>
      <c r="D432" s="25" t="n">
        <v>0</v>
      </c>
      <c r="E432" s="25" t="n">
        <v>0</v>
      </c>
      <c r="F432" s="25" t="n">
        <v>0</v>
      </c>
      <c r="G432" s="25" t="n">
        <v>0</v>
      </c>
      <c r="H432" s="25" t="n">
        <v>0</v>
      </c>
      <c r="I432" s="25" t="n">
        <v>0</v>
      </c>
      <c r="J432" s="25" t="n">
        <v>0</v>
      </c>
      <c r="K432" s="25" t="n">
        <v>0</v>
      </c>
      <c r="L432" s="25" t="n">
        <v>0</v>
      </c>
      <c r="M432" s="25" t="n">
        <v>0</v>
      </c>
      <c r="N432" s="25" t="n">
        <v>0</v>
      </c>
      <c r="O432" s="25" t="n">
        <v>0</v>
      </c>
      <c r="P432" s="21" t="n">
        <f aca="false">SUM(D432:O432)</f>
        <v>0</v>
      </c>
      <c r="Q432" s="25" t="n">
        <f aca="false">SUM(D432:J432)</f>
        <v>0</v>
      </c>
      <c r="R432" s="21" t="n">
        <f aca="false">P432-Q432</f>
        <v>0</v>
      </c>
    </row>
    <row r="433" customFormat="false" ht="12.75" hidden="false" customHeight="false" outlineLevel="0" collapsed="false">
      <c r="A433" s="22" t="s">
        <v>41</v>
      </c>
      <c r="D433" s="25" t="n">
        <v>0</v>
      </c>
      <c r="E433" s="25" t="n">
        <v>0</v>
      </c>
      <c r="F433" s="25" t="n">
        <v>0</v>
      </c>
      <c r="G433" s="25" t="n">
        <v>0</v>
      </c>
      <c r="H433" s="25" t="n">
        <v>0</v>
      </c>
      <c r="I433" s="25" t="n">
        <v>0</v>
      </c>
      <c r="J433" s="25" t="n">
        <v>0</v>
      </c>
      <c r="K433" s="25" t="n">
        <v>0</v>
      </c>
      <c r="L433" s="25" t="n">
        <v>0</v>
      </c>
      <c r="M433" s="25" t="n">
        <v>0</v>
      </c>
      <c r="N433" s="25" t="n">
        <v>0</v>
      </c>
      <c r="O433" s="25" t="n">
        <v>0</v>
      </c>
      <c r="P433" s="21" t="n">
        <f aca="false">SUM(D433:O433)</f>
        <v>0</v>
      </c>
      <c r="Q433" s="25" t="n">
        <f aca="false">SUM(D433:J433)</f>
        <v>0</v>
      </c>
      <c r="R433" s="21" t="n">
        <f aca="false">P433-Q433</f>
        <v>0</v>
      </c>
    </row>
    <row r="434" customFormat="false" ht="12.75" hidden="false" customHeight="false" outlineLevel="0" collapsed="false">
      <c r="A434" s="22" t="s">
        <v>50</v>
      </c>
      <c r="C434" s="23" t="n">
        <v>0</v>
      </c>
      <c r="D434" s="23" t="n">
        <v>0</v>
      </c>
      <c r="E434" s="23" t="n">
        <v>0</v>
      </c>
      <c r="F434" s="23" t="n">
        <v>0</v>
      </c>
      <c r="G434" s="23" t="n">
        <v>0</v>
      </c>
      <c r="H434" s="23" t="n">
        <v>0</v>
      </c>
      <c r="I434" s="23" t="n">
        <v>0</v>
      </c>
      <c r="J434" s="23" t="n">
        <v>0</v>
      </c>
      <c r="K434" s="23" t="n">
        <v>0</v>
      </c>
      <c r="L434" s="23" t="n">
        <v>0</v>
      </c>
      <c r="M434" s="23" t="n">
        <v>0</v>
      </c>
      <c r="N434" s="23" t="n">
        <v>0</v>
      </c>
      <c r="O434" s="23" t="n">
        <v>0</v>
      </c>
      <c r="P434" s="24" t="n">
        <f aca="false">SUM(D434:O434)</f>
        <v>0</v>
      </c>
      <c r="Q434" s="23" t="n">
        <f aca="false">SUM(D434:J434)</f>
        <v>0</v>
      </c>
      <c r="R434" s="24" t="n">
        <f aca="false">P434-Q434</f>
        <v>0</v>
      </c>
    </row>
    <row r="435" customFormat="false" ht="3.95" hidden="false" customHeight="true" outlineLevel="0" collapsed="false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customFormat="false" ht="12.75" hidden="false" customHeight="false" outlineLevel="0" collapsed="false">
      <c r="A436" s="20" t="s">
        <v>245</v>
      </c>
      <c r="C436" s="25" t="n">
        <v>0</v>
      </c>
      <c r="D436" s="21" t="n">
        <f aca="false">SUM(D431:D435)</f>
        <v>0</v>
      </c>
      <c r="E436" s="21" t="n">
        <f aca="false">SUM(E431:E435)</f>
        <v>0</v>
      </c>
      <c r="F436" s="21" t="n">
        <f aca="false">SUM(F431:F435)</f>
        <v>0</v>
      </c>
      <c r="G436" s="21" t="n">
        <f aca="false">SUM(G431:G435)</f>
        <v>0</v>
      </c>
      <c r="H436" s="21" t="n">
        <f aca="false">SUM(H431:H435)</f>
        <v>0</v>
      </c>
      <c r="I436" s="21" t="n">
        <f aca="false">SUM(I431:I435)</f>
        <v>0</v>
      </c>
      <c r="J436" s="21" t="n">
        <f aca="false">SUM(J431:J435)</f>
        <v>0</v>
      </c>
      <c r="K436" s="21" t="n">
        <f aca="false">SUM(K431:K435)</f>
        <v>0</v>
      </c>
      <c r="L436" s="21" t="n">
        <f aca="false">SUM(L431:L435)</f>
        <v>0</v>
      </c>
      <c r="M436" s="21" t="n">
        <f aca="false">SUM(M431:M435)</f>
        <v>0</v>
      </c>
      <c r="N436" s="21" t="n">
        <f aca="false">SUM(N431:N435)</f>
        <v>0</v>
      </c>
      <c r="O436" s="21" t="n">
        <f aca="false">SUM(O431:O435)</f>
        <v>0</v>
      </c>
      <c r="P436" s="21"/>
    </row>
    <row r="437" customFormat="false" ht="3.95" hidden="false" customHeight="true" outlineLevel="0" collapsed="false"/>
    <row r="438" customFormat="false" ht="12.75" hidden="false" customHeight="false" outlineLevel="0" collapsed="false">
      <c r="A438" s="22" t="s">
        <v>30</v>
      </c>
      <c r="C438" s="21"/>
      <c r="D438" s="21" t="n">
        <f aca="false">D436-C436</f>
        <v>0</v>
      </c>
      <c r="E438" s="21" t="n">
        <f aca="false">E436-D436</f>
        <v>0</v>
      </c>
      <c r="F438" s="21" t="n">
        <f aca="false">F436-E436</f>
        <v>0</v>
      </c>
      <c r="G438" s="21" t="n">
        <f aca="false">G436-F436</f>
        <v>0</v>
      </c>
      <c r="H438" s="21" t="n">
        <f aca="false">H436-G436</f>
        <v>0</v>
      </c>
      <c r="I438" s="21" t="n">
        <f aca="false">I436-H436</f>
        <v>0</v>
      </c>
      <c r="J438" s="21" t="n">
        <f aca="false">J436-I436</f>
        <v>0</v>
      </c>
      <c r="K438" s="21" t="n">
        <f aca="false">K436-J436</f>
        <v>0</v>
      </c>
      <c r="L438" s="21" t="n">
        <f aca="false">L436-K436</f>
        <v>0</v>
      </c>
      <c r="M438" s="21" t="n">
        <f aca="false">M436-L436</f>
        <v>0</v>
      </c>
      <c r="N438" s="21" t="n">
        <f aca="false">N436-M436</f>
        <v>0</v>
      </c>
      <c r="O438" s="21" t="n">
        <f aca="false">O436-N436</f>
        <v>0</v>
      </c>
      <c r="P438" s="21" t="n">
        <f aca="false">SUM(D438:O438)</f>
        <v>0</v>
      </c>
      <c r="Q438" s="21" t="n">
        <f aca="false">SUM(Q432:Q435)</f>
        <v>0</v>
      </c>
      <c r="R438" s="21" t="n">
        <f aca="false">P438-Q438</f>
        <v>0</v>
      </c>
    </row>
    <row r="440" customFormat="false" ht="12.75" hidden="false" customHeight="false" outlineLevel="0" collapsed="false">
      <c r="A440" s="20" t="s">
        <v>246</v>
      </c>
      <c r="C440" s="21"/>
      <c r="D440" s="21" t="n">
        <f aca="false">C448</f>
        <v>1829</v>
      </c>
      <c r="E440" s="21" t="n">
        <f aca="false">D448</f>
        <v>1828</v>
      </c>
      <c r="F440" s="21" t="n">
        <f aca="false">E448</f>
        <v>1828</v>
      </c>
      <c r="G440" s="21" t="n">
        <f aca="false">F448</f>
        <v>1830</v>
      </c>
      <c r="H440" s="21" t="n">
        <f aca="false">G448</f>
        <v>1825</v>
      </c>
      <c r="I440" s="21" t="n">
        <f aca="false">H448</f>
        <v>1827</v>
      </c>
      <c r="J440" s="21" t="n">
        <f aca="false">I448</f>
        <v>1830</v>
      </c>
      <c r="K440" s="21" t="n">
        <f aca="false">J448</f>
        <v>1830</v>
      </c>
      <c r="L440" s="21" t="n">
        <f aca="false">K448</f>
        <v>1830</v>
      </c>
      <c r="M440" s="21" t="n">
        <f aca="false">L448</f>
        <v>1830</v>
      </c>
      <c r="N440" s="21" t="n">
        <f aca="false">M448</f>
        <v>1918</v>
      </c>
      <c r="O440" s="21" t="n">
        <f aca="false">N448</f>
        <v>1918</v>
      </c>
      <c r="P440" s="21"/>
    </row>
    <row r="441" customFormat="false" ht="12.75" hidden="false" customHeight="false" outlineLevel="0" collapsed="false">
      <c r="A441" s="22" t="s">
        <v>247</v>
      </c>
      <c r="B441" s="27" t="s">
        <v>34</v>
      </c>
      <c r="C441" s="25" t="n">
        <v>37</v>
      </c>
      <c r="D441" s="21" t="n">
        <f aca="false">-[1]Source!D48</f>
        <v>-1</v>
      </c>
      <c r="E441" s="31" t="n">
        <f aca="false">-[1]Source!E48</f>
        <v>-0</v>
      </c>
      <c r="F441" s="31" t="n">
        <f aca="false">-[1]Source!F48</f>
        <v>-1</v>
      </c>
      <c r="G441" s="31" t="n">
        <f aca="false">-[1]Source!G48</f>
        <v>-0</v>
      </c>
      <c r="H441" s="31" t="n">
        <f aca="false">-[1]Source!H48</f>
        <v>-1</v>
      </c>
      <c r="I441" s="21" t="n">
        <f aca="false">-[1]Source!I48</f>
        <v>-1</v>
      </c>
      <c r="J441" s="21" t="n">
        <f aca="false">-[1]Source!J48</f>
        <v>-0</v>
      </c>
      <c r="K441" s="21" t="n">
        <f aca="false">-[1]Source!K48</f>
        <v>-1</v>
      </c>
      <c r="L441" s="21" t="n">
        <f aca="false">-[1]Source!L48</f>
        <v>-0</v>
      </c>
      <c r="M441" s="21" t="n">
        <f aca="false">-[1]Source!M48</f>
        <v>-1</v>
      </c>
      <c r="N441" s="21" t="n">
        <f aca="false">-[1]Source!N48</f>
        <v>-0</v>
      </c>
      <c r="O441" s="21" t="n">
        <f aca="false">-[1]Source!O48</f>
        <v>-1</v>
      </c>
      <c r="P441" s="21" t="n">
        <f aca="false">SUM(D441:O441)</f>
        <v>-7</v>
      </c>
      <c r="Q441" s="25" t="n">
        <f aca="false">SUM(D441:J441)</f>
        <v>-4</v>
      </c>
      <c r="R441" s="21" t="n">
        <f aca="false">P441-Q441</f>
        <v>-3</v>
      </c>
    </row>
    <row r="442" customFormat="false" ht="12.75" hidden="false" customHeight="false" outlineLevel="0" collapsed="false">
      <c r="A442" s="22" t="s">
        <v>248</v>
      </c>
      <c r="B442" s="27" t="s">
        <v>34</v>
      </c>
      <c r="C442" s="25" t="n">
        <v>0</v>
      </c>
      <c r="D442" s="25" t="n">
        <v>0</v>
      </c>
      <c r="E442" s="25" t="n">
        <v>0</v>
      </c>
      <c r="F442" s="25" t="n">
        <v>0</v>
      </c>
      <c r="G442" s="25" t="n">
        <v>0</v>
      </c>
      <c r="H442" s="25" t="n">
        <v>0</v>
      </c>
      <c r="I442" s="25" t="n">
        <v>0</v>
      </c>
      <c r="J442" s="25" t="n">
        <v>0</v>
      </c>
      <c r="K442" s="25" t="n">
        <v>0</v>
      </c>
      <c r="L442" s="25" t="n">
        <v>0</v>
      </c>
      <c r="M442" s="25" t="n">
        <v>0</v>
      </c>
      <c r="N442" s="25" t="n">
        <v>0</v>
      </c>
      <c r="O442" s="25" t="n">
        <v>0</v>
      </c>
      <c r="P442" s="21" t="n">
        <f aca="false">SUM(D442:O442)</f>
        <v>0</v>
      </c>
      <c r="Q442" s="25" t="n">
        <f aca="false">SUM(D442:J442)</f>
        <v>0</v>
      </c>
      <c r="R442" s="21" t="n">
        <f aca="false">P442-Q442</f>
        <v>0</v>
      </c>
    </row>
    <row r="443" customFormat="false" ht="12.75" hidden="false" customHeight="false" outlineLevel="0" collapsed="false">
      <c r="A443" s="22" t="s">
        <v>249</v>
      </c>
      <c r="B443" s="27" t="s">
        <v>34</v>
      </c>
      <c r="C443" s="25" t="n">
        <v>1793</v>
      </c>
      <c r="D443" s="31" t="n">
        <f aca="false">-[1]Source!D71</f>
        <v>-0</v>
      </c>
      <c r="E443" s="31" t="n">
        <f aca="false">-[1]Source!E71</f>
        <v>-0</v>
      </c>
      <c r="F443" s="31" t="n">
        <f aca="false">-[1]Source!F71</f>
        <v>-0</v>
      </c>
      <c r="G443" s="31" t="n">
        <f aca="false">-[1]Source!G71</f>
        <v>-0</v>
      </c>
      <c r="H443" s="31" t="n">
        <f aca="false">-[1]Source!H71</f>
        <v>-0</v>
      </c>
      <c r="I443" s="31" t="n">
        <f aca="false">-[1]Source!I71</f>
        <v>-0</v>
      </c>
      <c r="J443" s="31" t="n">
        <f aca="false">-[1]Source!J71</f>
        <v>-0</v>
      </c>
      <c r="K443" s="31" t="n">
        <f aca="false">-[1]Source!K71</f>
        <v>-0</v>
      </c>
      <c r="L443" s="31" t="n">
        <f aca="false">-[1]Source!L71</f>
        <v>-0</v>
      </c>
      <c r="M443" s="32" t="n">
        <f aca="false">-[1]Source!M71+(985-0)+M217</f>
        <v>89</v>
      </c>
      <c r="N443" s="31" t="n">
        <f aca="false">-[1]Source!N71</f>
        <v>-0</v>
      </c>
      <c r="O443" s="32" t="n">
        <f aca="false">-[1]Source!O71-985+0</f>
        <v>-985</v>
      </c>
      <c r="P443" s="21" t="n">
        <f aca="false">SUM(D443:O443)</f>
        <v>-896</v>
      </c>
      <c r="Q443" s="25" t="n">
        <f aca="false">SUM(D443:J443)</f>
        <v>0</v>
      </c>
      <c r="R443" s="21" t="n">
        <f aca="false">P443-Q443</f>
        <v>-896</v>
      </c>
    </row>
    <row r="444" customFormat="false" ht="12.75" hidden="false" customHeight="false" outlineLevel="0" collapsed="false">
      <c r="A444" s="22" t="s">
        <v>41</v>
      </c>
      <c r="C444" s="25" t="n">
        <v>0</v>
      </c>
      <c r="D444" s="25" t="n">
        <v>0</v>
      </c>
      <c r="E444" s="25" t="n">
        <v>0</v>
      </c>
      <c r="F444" s="25" t="n">
        <v>0</v>
      </c>
      <c r="G444" s="25" t="n">
        <v>0</v>
      </c>
      <c r="H444" s="25" t="n">
        <v>0</v>
      </c>
      <c r="I444" s="25" t="n">
        <v>0</v>
      </c>
      <c r="J444" s="25" t="n">
        <v>0</v>
      </c>
      <c r="K444" s="25" t="n">
        <v>0</v>
      </c>
      <c r="L444" s="25" t="n">
        <v>0</v>
      </c>
      <c r="M444" s="25" t="n">
        <v>0</v>
      </c>
      <c r="N444" s="25" t="n">
        <v>0</v>
      </c>
      <c r="O444" s="25" t="n">
        <v>0</v>
      </c>
      <c r="P444" s="21" t="n">
        <f aca="false">SUM(D444:O444)</f>
        <v>0</v>
      </c>
      <c r="Q444" s="25" t="n">
        <f aca="false">SUM(D444:J444)</f>
        <v>0</v>
      </c>
      <c r="R444" s="21" t="n">
        <f aca="false">P444-Q444</f>
        <v>0</v>
      </c>
    </row>
    <row r="445" customFormat="false" ht="12.75" hidden="false" customHeight="false" outlineLevel="0" collapsed="false">
      <c r="A445" s="22" t="s">
        <v>41</v>
      </c>
      <c r="B445" s="27"/>
      <c r="C445" s="25" t="n">
        <v>0</v>
      </c>
      <c r="D445" s="25" t="n">
        <v>0</v>
      </c>
      <c r="E445" s="25" t="n">
        <v>0</v>
      </c>
      <c r="F445" s="25" t="n">
        <v>0</v>
      </c>
      <c r="G445" s="25" t="n">
        <v>0</v>
      </c>
      <c r="H445" s="25" t="n">
        <v>0</v>
      </c>
      <c r="I445" s="25" t="n">
        <v>0</v>
      </c>
      <c r="J445" s="25" t="n">
        <v>0</v>
      </c>
      <c r="K445" s="25" t="n">
        <v>0</v>
      </c>
      <c r="L445" s="25" t="n">
        <v>0</v>
      </c>
      <c r="M445" s="25" t="n">
        <v>0</v>
      </c>
      <c r="N445" s="25" t="n">
        <v>0</v>
      </c>
      <c r="O445" s="25" t="n">
        <v>0</v>
      </c>
      <c r="P445" s="21" t="n">
        <f aca="false">SUM(D445:O445)</f>
        <v>0</v>
      </c>
      <c r="Q445" s="25" t="n">
        <f aca="false">SUM(D445:J445)</f>
        <v>0</v>
      </c>
      <c r="R445" s="21" t="n">
        <f aca="false">P445-Q445</f>
        <v>0</v>
      </c>
    </row>
    <row r="446" customFormat="false" ht="12.75" hidden="false" customHeight="false" outlineLevel="0" collapsed="false">
      <c r="A446" s="22" t="s">
        <v>50</v>
      </c>
      <c r="C446" s="23" t="n">
        <v>-1</v>
      </c>
      <c r="D446" s="23" t="n">
        <v>0</v>
      </c>
      <c r="E446" s="23" t="n">
        <v>0</v>
      </c>
      <c r="F446" s="23" t="n">
        <v>3</v>
      </c>
      <c r="G446" s="23" t="n">
        <v>-5</v>
      </c>
      <c r="H446" s="23" t="n">
        <v>3</v>
      </c>
      <c r="I446" s="23" t="n">
        <v>4</v>
      </c>
      <c r="J446" s="23" t="n">
        <v>0</v>
      </c>
      <c r="K446" s="23" t="n">
        <v>1</v>
      </c>
      <c r="L446" s="23" t="n">
        <v>0</v>
      </c>
      <c r="M446" s="23" t="n">
        <v>0</v>
      </c>
      <c r="N446" s="23" t="n">
        <v>0</v>
      </c>
      <c r="O446" s="23" t="n">
        <v>0</v>
      </c>
      <c r="P446" s="24" t="n">
        <f aca="false">SUM(D446:O446)</f>
        <v>6</v>
      </c>
      <c r="Q446" s="23" t="n">
        <f aca="false">SUM(D446:J446)</f>
        <v>5</v>
      </c>
      <c r="R446" s="24" t="n">
        <f aca="false">P446-Q446</f>
        <v>1</v>
      </c>
    </row>
    <row r="447" customFormat="false" ht="3.95" hidden="false" customHeight="true" outlineLevel="0" collapsed="false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customFormat="false" ht="12.75" hidden="false" customHeight="false" outlineLevel="0" collapsed="false">
      <c r="A448" s="20" t="s">
        <v>250</v>
      </c>
      <c r="C448" s="21" t="n">
        <f aca="false">SUM(C440:C447)</f>
        <v>1829</v>
      </c>
      <c r="D448" s="21" t="n">
        <f aca="false">SUM(D440:D447)</f>
        <v>1828</v>
      </c>
      <c r="E448" s="21" t="n">
        <f aca="false">SUM(E440:E447)</f>
        <v>1828</v>
      </c>
      <c r="F448" s="21" t="n">
        <f aca="false">SUM(F440:F447)</f>
        <v>1830</v>
      </c>
      <c r="G448" s="21" t="n">
        <f aca="false">SUM(G440:G447)</f>
        <v>1825</v>
      </c>
      <c r="H448" s="21" t="n">
        <f aca="false">SUM(H440:H447)</f>
        <v>1827</v>
      </c>
      <c r="I448" s="21" t="n">
        <f aca="false">SUM(I440:I447)</f>
        <v>1830</v>
      </c>
      <c r="J448" s="21" t="n">
        <f aca="false">SUM(J440:J447)</f>
        <v>1830</v>
      </c>
      <c r="K448" s="21" t="n">
        <f aca="false">SUM(K440:K447)</f>
        <v>1830</v>
      </c>
      <c r="L448" s="21" t="n">
        <f aca="false">SUM(L440:L447)</f>
        <v>1830</v>
      </c>
      <c r="M448" s="21" t="n">
        <f aca="false">SUM(M440:M447)</f>
        <v>1918</v>
      </c>
      <c r="N448" s="21" t="n">
        <f aca="false">SUM(N440:N447)</f>
        <v>1918</v>
      </c>
      <c r="O448" s="21" t="n">
        <f aca="false">SUM(O440:O447)</f>
        <v>932</v>
      </c>
      <c r="P448" s="21"/>
    </row>
    <row r="449" customFormat="false" ht="3.95" hidden="false" customHeight="true" outlineLevel="0" collapsed="false"/>
    <row r="450" customFormat="false" ht="12.75" hidden="false" customHeight="false" outlineLevel="0" collapsed="false">
      <c r="A450" s="22" t="s">
        <v>30</v>
      </c>
      <c r="C450" s="21"/>
      <c r="D450" s="21" t="n">
        <f aca="false">D448-C448</f>
        <v>-1</v>
      </c>
      <c r="E450" s="21" t="n">
        <f aca="false">E448-D448</f>
        <v>0</v>
      </c>
      <c r="F450" s="21" t="n">
        <f aca="false">F448-E448</f>
        <v>2</v>
      </c>
      <c r="G450" s="21" t="n">
        <f aca="false">G448-F448</f>
        <v>-5</v>
      </c>
      <c r="H450" s="21" t="n">
        <f aca="false">H448-G448</f>
        <v>2</v>
      </c>
      <c r="I450" s="21" t="n">
        <f aca="false">I448-H448</f>
        <v>3</v>
      </c>
      <c r="J450" s="21" t="n">
        <f aca="false">J448-I448</f>
        <v>0</v>
      </c>
      <c r="K450" s="21" t="n">
        <f aca="false">K448-J448</f>
        <v>0</v>
      </c>
      <c r="L450" s="21" t="n">
        <f aca="false">L448-K448</f>
        <v>0</v>
      </c>
      <c r="M450" s="21" t="n">
        <f aca="false">M448-L448</f>
        <v>88</v>
      </c>
      <c r="N450" s="21" t="n">
        <f aca="false">N448-M448</f>
        <v>0</v>
      </c>
      <c r="O450" s="21" t="n">
        <f aca="false">O448-N448</f>
        <v>-986</v>
      </c>
      <c r="P450" s="21" t="n">
        <f aca="false">SUM(D450:O450)</f>
        <v>-897</v>
      </c>
      <c r="Q450" s="21" t="n">
        <f aca="false">SUM(Q441:Q447)</f>
        <v>1</v>
      </c>
      <c r="R450" s="21" t="n">
        <f aca="false">P450-Q450</f>
        <v>-898</v>
      </c>
    </row>
    <row r="452" customFormat="false" ht="12.75" hidden="false" customHeight="false" outlineLevel="0" collapsed="false">
      <c r="A452" s="20" t="s">
        <v>251</v>
      </c>
      <c r="D452" s="21" t="n">
        <f aca="false">C458</f>
        <v>12759</v>
      </c>
      <c r="E452" s="21" t="n">
        <f aca="false">D458</f>
        <v>17580</v>
      </c>
      <c r="F452" s="21" t="n">
        <f aca="false">E458</f>
        <v>24079</v>
      </c>
      <c r="G452" s="21" t="n">
        <f aca="false">F458</f>
        <v>21841</v>
      </c>
      <c r="H452" s="21" t="n">
        <f aca="false">G458</f>
        <v>23550</v>
      </c>
      <c r="I452" s="21" t="n">
        <f aca="false">H458</f>
        <v>11813</v>
      </c>
      <c r="J452" s="21" t="n">
        <f aca="false">I458</f>
        <v>1245</v>
      </c>
      <c r="K452" s="21" t="n">
        <f aca="false">J458</f>
        <v>2910</v>
      </c>
      <c r="L452" s="21" t="n">
        <f aca="false">K458</f>
        <v>2910</v>
      </c>
      <c r="M452" s="21" t="n">
        <f aca="false">L458</f>
        <v>2910</v>
      </c>
      <c r="N452" s="21" t="n">
        <f aca="false">M458</f>
        <v>2910</v>
      </c>
      <c r="O452" s="21" t="n">
        <f aca="false">N458</f>
        <v>2910</v>
      </c>
    </row>
    <row r="453" customFormat="false" ht="12.75" hidden="false" customHeight="false" outlineLevel="0" collapsed="false">
      <c r="A453" s="22" t="s">
        <v>252</v>
      </c>
      <c r="B453" s="27"/>
      <c r="C453" s="25" t="n">
        <v>7907</v>
      </c>
      <c r="D453" s="40" t="n">
        <f aca="false">D138</f>
        <v>4821</v>
      </c>
      <c r="E453" s="40" t="n">
        <f aca="false">E138</f>
        <v>6499</v>
      </c>
      <c r="F453" s="40" t="n">
        <f aca="false">F138</f>
        <v>-2238</v>
      </c>
      <c r="G453" s="40" t="n">
        <f aca="false">G138</f>
        <v>1724</v>
      </c>
      <c r="H453" s="40" t="n">
        <f aca="false">H138</f>
        <v>-11737</v>
      </c>
      <c r="I453" s="40" t="n">
        <f aca="false">I138</f>
        <v>-13611</v>
      </c>
      <c r="J453" s="40" t="n">
        <f aca="false">J138</f>
        <v>-1824</v>
      </c>
      <c r="K453" s="40" t="n">
        <f aca="false">K138</f>
        <v>0</v>
      </c>
      <c r="L453" s="40" t="n">
        <f aca="false">L138</f>
        <v>0</v>
      </c>
      <c r="M453" s="40" t="n">
        <f aca="false">M138</f>
        <v>0</v>
      </c>
      <c r="N453" s="40" t="n">
        <f aca="false">N138</f>
        <v>0</v>
      </c>
      <c r="O453" s="40" t="n">
        <f aca="false">O138</f>
        <v>0</v>
      </c>
      <c r="P453" s="21" t="n">
        <f aca="false">SUM(D453:O453)</f>
        <v>-16366</v>
      </c>
      <c r="Q453" s="25" t="n">
        <f aca="false">SUM(D453:J453)</f>
        <v>-16366</v>
      </c>
      <c r="R453" s="21" t="n">
        <f aca="false">P453-Q453</f>
        <v>0</v>
      </c>
    </row>
    <row r="454" customFormat="false" ht="12.75" hidden="false" customHeight="false" outlineLevel="0" collapsed="false">
      <c r="A454" s="22" t="s">
        <v>97</v>
      </c>
      <c r="C454" s="25" t="n">
        <v>4852</v>
      </c>
      <c r="D454" s="25" t="n">
        <v>0</v>
      </c>
      <c r="E454" s="25" t="n">
        <v>0</v>
      </c>
      <c r="F454" s="25" t="n">
        <v>0</v>
      </c>
      <c r="G454" s="25" t="n">
        <v>0</v>
      </c>
      <c r="H454" s="25" t="n">
        <v>0</v>
      </c>
      <c r="I454" s="25" t="n">
        <v>3043</v>
      </c>
      <c r="J454" s="25" t="n">
        <v>3489</v>
      </c>
      <c r="K454" s="25" t="n">
        <v>0</v>
      </c>
      <c r="L454" s="25" t="n">
        <v>0</v>
      </c>
      <c r="M454" s="25" t="n">
        <v>0</v>
      </c>
      <c r="N454" s="25" t="n">
        <v>0</v>
      </c>
      <c r="O454" s="25" t="n">
        <v>0</v>
      </c>
      <c r="P454" s="21" t="n">
        <f aca="false">SUM(D454:O454)</f>
        <v>6532</v>
      </c>
      <c r="Q454" s="25" t="n">
        <f aca="false">SUM(D454:J454)</f>
        <v>6532</v>
      </c>
      <c r="R454" s="21" t="n">
        <f aca="false">P454-Q454</f>
        <v>0</v>
      </c>
    </row>
    <row r="455" customFormat="false" ht="12.75" hidden="false" customHeight="false" outlineLevel="0" collapsed="false">
      <c r="A455" s="22" t="s">
        <v>195</v>
      </c>
      <c r="C455" s="25" t="n">
        <v>0</v>
      </c>
      <c r="D455" s="25" t="n">
        <v>0</v>
      </c>
      <c r="E455" s="25" t="n">
        <v>0</v>
      </c>
      <c r="F455" s="25" t="n">
        <v>0</v>
      </c>
      <c r="G455" s="25" t="n">
        <v>-15</v>
      </c>
      <c r="H455" s="25" t="n">
        <v>0</v>
      </c>
      <c r="I455" s="25" t="n">
        <v>0</v>
      </c>
      <c r="J455" s="25" t="n">
        <v>0</v>
      </c>
      <c r="K455" s="25" t="n">
        <v>0</v>
      </c>
      <c r="L455" s="25" t="n">
        <v>0</v>
      </c>
      <c r="M455" s="25" t="n">
        <v>0</v>
      </c>
      <c r="N455" s="25" t="n">
        <v>0</v>
      </c>
      <c r="O455" s="25" t="n">
        <v>0</v>
      </c>
      <c r="P455" s="21" t="n">
        <f aca="false">SUM(D455:O455)</f>
        <v>-15</v>
      </c>
      <c r="Q455" s="25" t="n">
        <f aca="false">SUM(D455:J455)</f>
        <v>-15</v>
      </c>
      <c r="R455" s="21" t="n">
        <f aca="false">P455-Q455</f>
        <v>0</v>
      </c>
    </row>
    <row r="456" customFormat="false" ht="12.75" hidden="false" customHeight="false" outlineLevel="0" collapsed="false">
      <c r="A456" s="22" t="s">
        <v>50</v>
      </c>
      <c r="C456" s="23" t="n">
        <v>0</v>
      </c>
      <c r="D456" s="23" t="n">
        <v>0</v>
      </c>
      <c r="E456" s="23" t="n">
        <v>0</v>
      </c>
      <c r="F456" s="23" t="n">
        <v>0</v>
      </c>
      <c r="G456" s="23" t="n">
        <v>0</v>
      </c>
      <c r="H456" s="23" t="n">
        <v>0</v>
      </c>
      <c r="I456" s="23" t="n">
        <v>0</v>
      </c>
      <c r="J456" s="23" t="n">
        <v>0</v>
      </c>
      <c r="K456" s="23" t="n">
        <v>0</v>
      </c>
      <c r="L456" s="23" t="n">
        <v>0</v>
      </c>
      <c r="M456" s="23" t="n">
        <v>0</v>
      </c>
      <c r="N456" s="23" t="n">
        <v>0</v>
      </c>
      <c r="O456" s="23" t="n">
        <v>0</v>
      </c>
      <c r="P456" s="24" t="n">
        <f aca="false">SUM(D456:O456)</f>
        <v>0</v>
      </c>
      <c r="Q456" s="23" t="n">
        <f aca="false">SUM(D456:J456)</f>
        <v>0</v>
      </c>
      <c r="R456" s="24" t="n">
        <f aca="false">P456-Q456</f>
        <v>0</v>
      </c>
    </row>
    <row r="457" customFormat="false" ht="3.95" hidden="false" customHeight="true" outlineLevel="0" collapsed="false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customFormat="false" ht="12.75" hidden="false" customHeight="false" outlineLevel="0" collapsed="false">
      <c r="A458" s="20" t="s">
        <v>253</v>
      </c>
      <c r="C458" s="21" t="n">
        <f aca="false">SUM(C452:C457)</f>
        <v>12759</v>
      </c>
      <c r="D458" s="21" t="n">
        <f aca="false">SUM(D452:D457)</f>
        <v>17580</v>
      </c>
      <c r="E458" s="21" t="n">
        <f aca="false">SUM(E452:E457)</f>
        <v>24079</v>
      </c>
      <c r="F458" s="21" t="n">
        <f aca="false">SUM(F452:F457)</f>
        <v>21841</v>
      </c>
      <c r="G458" s="21" t="n">
        <f aca="false">SUM(G452:G457)</f>
        <v>23550</v>
      </c>
      <c r="H458" s="21" t="n">
        <f aca="false">SUM(H452:H457)</f>
        <v>11813</v>
      </c>
      <c r="I458" s="21" t="n">
        <f aca="false">SUM(I452:I457)</f>
        <v>1245</v>
      </c>
      <c r="J458" s="21" t="n">
        <f aca="false">SUM(J452:J457)</f>
        <v>2910</v>
      </c>
      <c r="K458" s="21" t="n">
        <f aca="false">SUM(K452:K457)</f>
        <v>2910</v>
      </c>
      <c r="L458" s="21" t="n">
        <f aca="false">SUM(L452:L457)</f>
        <v>2910</v>
      </c>
      <c r="M458" s="21" t="n">
        <f aca="false">SUM(M452:M457)</f>
        <v>2910</v>
      </c>
      <c r="N458" s="21" t="n">
        <f aca="false">SUM(N452:N457)</f>
        <v>2910</v>
      </c>
      <c r="O458" s="21" t="n">
        <f aca="false">SUM(O452:O457)</f>
        <v>2910</v>
      </c>
      <c r="P458" s="21"/>
    </row>
    <row r="459" customFormat="false" ht="3.95" hidden="false" customHeight="true" outlineLevel="0" collapsed="false"/>
    <row r="460" customFormat="false" ht="12.75" hidden="false" customHeight="false" outlineLevel="0" collapsed="false">
      <c r="A460" s="22" t="s">
        <v>30</v>
      </c>
      <c r="C460" s="21"/>
      <c r="D460" s="21" t="n">
        <f aca="false">D458-C458</f>
        <v>4821</v>
      </c>
      <c r="E460" s="21" t="n">
        <f aca="false">E458-D458</f>
        <v>6499</v>
      </c>
      <c r="F460" s="21" t="n">
        <f aca="false">F458-E458</f>
        <v>-2238</v>
      </c>
      <c r="G460" s="21" t="n">
        <f aca="false">G458-F458</f>
        <v>1709</v>
      </c>
      <c r="H460" s="21" t="n">
        <f aca="false">H458-G458</f>
        <v>-11737</v>
      </c>
      <c r="I460" s="21" t="n">
        <f aca="false">I458-H458</f>
        <v>-10568</v>
      </c>
      <c r="J460" s="21" t="n">
        <f aca="false">J458-I458</f>
        <v>1665</v>
      </c>
      <c r="K460" s="21" t="n">
        <f aca="false">K458-J458</f>
        <v>0</v>
      </c>
      <c r="L460" s="21" t="n">
        <f aca="false">L458-K458</f>
        <v>0</v>
      </c>
      <c r="M460" s="21" t="n">
        <f aca="false">M458-L458</f>
        <v>0</v>
      </c>
      <c r="N460" s="21" t="n">
        <f aca="false">N458-M458</f>
        <v>0</v>
      </c>
      <c r="O460" s="21" t="n">
        <f aca="false">O458-N458</f>
        <v>0</v>
      </c>
      <c r="P460" s="21" t="n">
        <f aca="false">SUM(D460:O460)</f>
        <v>-9849</v>
      </c>
      <c r="Q460" s="21" t="n">
        <f aca="false">SUM(Q453:Q457)</f>
        <v>-9849</v>
      </c>
      <c r="R460" s="21" t="n">
        <f aca="false">P460-Q460</f>
        <v>0</v>
      </c>
    </row>
    <row r="461" customFormat="false" ht="8.1" hidden="false" customHeight="true" outlineLevel="0" collapsed="false"/>
    <row r="463" customFormat="false" ht="12.75" hidden="false" customHeight="false" outlineLevel="0" collapsed="false">
      <c r="A463" s="20" t="s">
        <v>254</v>
      </c>
      <c r="C463" s="21"/>
      <c r="D463" s="21" t="n">
        <f aca="false">C473</f>
        <v>-897027</v>
      </c>
      <c r="E463" s="21" t="n">
        <f aca="false">D473</f>
        <v>-947651</v>
      </c>
      <c r="F463" s="21" t="n">
        <f aca="false">E473</f>
        <v>-937500</v>
      </c>
      <c r="G463" s="21" t="n">
        <f aca="false">F473</f>
        <v>-970640</v>
      </c>
      <c r="H463" s="21" t="n">
        <f aca="false">G473</f>
        <v>-1018504</v>
      </c>
      <c r="I463" s="21" t="n">
        <f aca="false">H473</f>
        <v>-1037688</v>
      </c>
      <c r="J463" s="21" t="n">
        <f aca="false">I473</f>
        <v>-1048458</v>
      </c>
      <c r="K463" s="21" t="n">
        <f aca="false">J473</f>
        <v>-1067891</v>
      </c>
      <c r="L463" s="21" t="n">
        <f aca="false">K473</f>
        <v>-1085805</v>
      </c>
      <c r="M463" s="21" t="n">
        <f aca="false">L473</f>
        <v>-1087205</v>
      </c>
      <c r="N463" s="21" t="n">
        <f aca="false">M473</f>
        <v>-1090605</v>
      </c>
      <c r="O463" s="21" t="n">
        <f aca="false">N473</f>
        <v>-1089105</v>
      </c>
      <c r="P463" s="21"/>
    </row>
    <row r="464" customFormat="false" ht="12.75" hidden="false" customHeight="false" outlineLevel="0" collapsed="false">
      <c r="A464" s="46" t="s">
        <v>255</v>
      </c>
      <c r="D464" s="25" t="n">
        <v>-31364</v>
      </c>
      <c r="E464" s="25" t="n">
        <v>29094</v>
      </c>
      <c r="F464" s="25" t="n">
        <v>-8292</v>
      </c>
      <c r="G464" s="25" t="n">
        <v>-47457</v>
      </c>
      <c r="H464" s="25" t="n">
        <v>-13345</v>
      </c>
      <c r="I464" s="25" t="n">
        <v>2393</v>
      </c>
      <c r="J464" s="35" t="n">
        <f aca="false">-11018+1</f>
        <v>-11017</v>
      </c>
      <c r="K464" s="25" t="n">
        <v>-12014</v>
      </c>
      <c r="L464" s="25" t="n">
        <v>5400</v>
      </c>
      <c r="M464" s="25" t="n">
        <v>16600</v>
      </c>
      <c r="N464" s="25" t="n">
        <v>22000</v>
      </c>
      <c r="O464" s="25" t="n">
        <v>14300</v>
      </c>
      <c r="P464" s="21" t="n">
        <f aca="false">SUM(D464:O464)</f>
        <v>-33702</v>
      </c>
      <c r="Q464" s="25" t="n">
        <f aca="false">SUM(D464:J464)</f>
        <v>-79988</v>
      </c>
      <c r="R464" s="21" t="n">
        <f aca="false">P464-Q464</f>
        <v>46286</v>
      </c>
    </row>
    <row r="465" customFormat="false" ht="12.75" hidden="false" customHeight="false" outlineLevel="0" collapsed="false">
      <c r="A465" s="22" t="s">
        <v>256</v>
      </c>
      <c r="D465" s="37" t="n">
        <f aca="false">-D310</f>
        <v>-19260</v>
      </c>
      <c r="E465" s="37" t="n">
        <f aca="false">-E310</f>
        <v>-18943</v>
      </c>
      <c r="F465" s="37" t="n">
        <f aca="false">-F310</f>
        <v>-24848</v>
      </c>
      <c r="G465" s="37" t="n">
        <f aca="false">-G310</f>
        <v>-407</v>
      </c>
      <c r="H465" s="37" t="n">
        <f aca="false">-H310</f>
        <v>-5839</v>
      </c>
      <c r="I465" s="37" t="n">
        <f aca="false">-I310</f>
        <v>-13163</v>
      </c>
      <c r="J465" s="37" t="n">
        <f aca="false">-J310</f>
        <v>-8416</v>
      </c>
      <c r="K465" s="37" t="n">
        <f aca="false">-K310</f>
        <v>-5900</v>
      </c>
      <c r="L465" s="37" t="n">
        <f aca="false">-L310</f>
        <v>-6800</v>
      </c>
      <c r="M465" s="37" t="n">
        <f aca="false">-M310</f>
        <v>-20000</v>
      </c>
      <c r="N465" s="37" t="n">
        <f aca="false">-N310</f>
        <v>-20500</v>
      </c>
      <c r="O465" s="37" t="n">
        <f aca="false">-O310</f>
        <v>-18800</v>
      </c>
      <c r="P465" s="21" t="n">
        <f aca="false">SUM(D465:O465)</f>
        <v>-162876</v>
      </c>
      <c r="Q465" s="25" t="n">
        <f aca="false">SUM(D465:J465)</f>
        <v>-90876</v>
      </c>
      <c r="R465" s="21" t="n">
        <f aca="false">P465-Q465</f>
        <v>-72000</v>
      </c>
    </row>
    <row r="466" customFormat="false" ht="12.75" hidden="false" customHeight="false" outlineLevel="0" collapsed="false">
      <c r="A466" s="22" t="s">
        <v>257</v>
      </c>
      <c r="D466" s="37" t="n">
        <f aca="false">-D319+D319</f>
        <v>0</v>
      </c>
      <c r="E466" s="37" t="n">
        <f aca="false">-E319+E319</f>
        <v>0</v>
      </c>
      <c r="F466" s="37" t="n">
        <f aca="false">-F319+F319</f>
        <v>0</v>
      </c>
      <c r="G466" s="37" t="n">
        <f aca="false">-G319+G319</f>
        <v>0</v>
      </c>
      <c r="H466" s="37" t="n">
        <f aca="false">-H319+H319</f>
        <v>0</v>
      </c>
      <c r="I466" s="37" t="n">
        <f aca="false">-I319+I319</f>
        <v>0</v>
      </c>
      <c r="J466" s="37" t="n">
        <f aca="false">-J319+J319</f>
        <v>0</v>
      </c>
      <c r="K466" s="37" t="n">
        <f aca="false">-K319+K319</f>
        <v>0</v>
      </c>
      <c r="L466" s="37" t="n">
        <f aca="false">-L319+L319</f>
        <v>0</v>
      </c>
      <c r="M466" s="37" t="n">
        <f aca="false">-M319+M319</f>
        <v>0</v>
      </c>
      <c r="N466" s="37" t="n">
        <f aca="false">-N319+N319</f>
        <v>0</v>
      </c>
      <c r="O466" s="37" t="n">
        <f aca="false">-O319+O319</f>
        <v>0</v>
      </c>
      <c r="P466" s="21" t="n">
        <f aca="false">SUM(D466:O466)</f>
        <v>0</v>
      </c>
      <c r="Q466" s="25" t="n">
        <f aca="false">SUM(D466:J466)</f>
        <v>0</v>
      </c>
      <c r="R466" s="21" t="n">
        <f aca="false">P466-Q466</f>
        <v>0</v>
      </c>
    </row>
    <row r="467" customFormat="false" ht="12.75" hidden="false" customHeight="false" outlineLevel="0" collapsed="false">
      <c r="A467" s="22" t="s">
        <v>258</v>
      </c>
      <c r="D467" s="21" t="n">
        <f aca="false">-D496</f>
        <v>-0</v>
      </c>
      <c r="E467" s="21" t="n">
        <f aca="false">-E496</f>
        <v>-0</v>
      </c>
      <c r="F467" s="21" t="n">
        <f aca="false">-F496</f>
        <v>-0</v>
      </c>
      <c r="G467" s="21" t="n">
        <f aca="false">-G496</f>
        <v>-0</v>
      </c>
      <c r="H467" s="21" t="n">
        <f aca="false">-H496</f>
        <v>-0</v>
      </c>
      <c r="I467" s="21" t="n">
        <f aca="false">-I496</f>
        <v>-0</v>
      </c>
      <c r="J467" s="21" t="n">
        <f aca="false">-J496</f>
        <v>-0</v>
      </c>
      <c r="K467" s="21" t="n">
        <f aca="false">-K496</f>
        <v>-0</v>
      </c>
      <c r="L467" s="21" t="n">
        <f aca="false">-L496</f>
        <v>-0</v>
      </c>
      <c r="M467" s="21" t="n">
        <f aca="false">-M496</f>
        <v>-0</v>
      </c>
      <c r="N467" s="21" t="n">
        <f aca="false">-N496</f>
        <v>-0</v>
      </c>
      <c r="O467" s="21" t="n">
        <f aca="false">-O496</f>
        <v>-0</v>
      </c>
      <c r="P467" s="21" t="n">
        <f aca="false">SUM(D467:O467)</f>
        <v>0</v>
      </c>
      <c r="Q467" s="25" t="n">
        <f aca="false">SUM(D467:J467)</f>
        <v>0</v>
      </c>
      <c r="R467" s="21" t="n">
        <f aca="false">P467-Q467</f>
        <v>0</v>
      </c>
    </row>
    <row r="468" customFormat="false" ht="12.75" hidden="false" customHeight="false" outlineLevel="0" collapsed="false">
      <c r="A468" s="22" t="s">
        <v>259</v>
      </c>
      <c r="D468" s="37" t="n">
        <f aca="false">-D482+D482</f>
        <v>0</v>
      </c>
      <c r="E468" s="37" t="n">
        <f aca="false">-E482+E482</f>
        <v>0</v>
      </c>
      <c r="F468" s="37" t="n">
        <f aca="false">-F482+F482</f>
        <v>0</v>
      </c>
      <c r="G468" s="37" t="n">
        <f aca="false">-G482+G482</f>
        <v>0</v>
      </c>
      <c r="H468" s="37" t="n">
        <f aca="false">-H482+H482</f>
        <v>0</v>
      </c>
      <c r="I468" s="37" t="n">
        <f aca="false">-I482+I482</f>
        <v>0</v>
      </c>
      <c r="J468" s="37" t="n">
        <f aca="false">-J482+J482</f>
        <v>0</v>
      </c>
      <c r="K468" s="37" t="n">
        <f aca="false">-K482+K482</f>
        <v>0</v>
      </c>
      <c r="L468" s="37" t="n">
        <f aca="false">-L482+L482</f>
        <v>0</v>
      </c>
      <c r="M468" s="37" t="n">
        <f aca="false">-M482+M482</f>
        <v>0</v>
      </c>
      <c r="N468" s="37" t="n">
        <f aca="false">-N482+N482</f>
        <v>0</v>
      </c>
      <c r="O468" s="37" t="n">
        <f aca="false">-O482+O482</f>
        <v>0</v>
      </c>
      <c r="P468" s="21" t="n">
        <f aca="false">SUM(D468:O468)</f>
        <v>0</v>
      </c>
      <c r="Q468" s="25" t="n">
        <f aca="false">SUM(D468:J468)</f>
        <v>0</v>
      </c>
      <c r="R468" s="21" t="n">
        <f aca="false">P468-Q468</f>
        <v>0</v>
      </c>
    </row>
    <row r="469" customFormat="false" ht="12.75" hidden="false" customHeight="false" outlineLevel="0" collapsed="false">
      <c r="A469" s="22" t="s">
        <v>41</v>
      </c>
      <c r="D469" s="25" t="n">
        <v>0</v>
      </c>
      <c r="E469" s="25" t="n">
        <v>0</v>
      </c>
      <c r="F469" s="25" t="n">
        <v>0</v>
      </c>
      <c r="G469" s="25" t="n">
        <v>0</v>
      </c>
      <c r="H469" s="25" t="n">
        <v>0</v>
      </c>
      <c r="I469" s="25" t="n">
        <v>0</v>
      </c>
      <c r="J469" s="25" t="n">
        <v>0</v>
      </c>
      <c r="K469" s="25" t="n">
        <v>0</v>
      </c>
      <c r="L469" s="25" t="n">
        <v>0</v>
      </c>
      <c r="M469" s="25" t="n">
        <v>0</v>
      </c>
      <c r="N469" s="25" t="n">
        <v>0</v>
      </c>
      <c r="O469" s="25" t="n">
        <v>0</v>
      </c>
      <c r="P469" s="21" t="n">
        <f aca="false">SUM(D469:O469)</f>
        <v>0</v>
      </c>
      <c r="Q469" s="25" t="n">
        <f aca="false">SUM(D469:J469)</f>
        <v>0</v>
      </c>
      <c r="R469" s="21" t="n">
        <f aca="false">P469-Q469</f>
        <v>0</v>
      </c>
    </row>
    <row r="470" customFormat="false" ht="12.75" hidden="false" customHeight="false" outlineLevel="0" collapsed="false">
      <c r="A470" s="22" t="s">
        <v>260</v>
      </c>
      <c r="C470" s="25"/>
      <c r="D470" s="25" t="n">
        <v>0</v>
      </c>
      <c r="E470" s="25" t="n">
        <v>0</v>
      </c>
      <c r="F470" s="25" t="n">
        <v>0</v>
      </c>
      <c r="G470" s="25" t="n">
        <v>0</v>
      </c>
      <c r="H470" s="25" t="n">
        <v>0</v>
      </c>
      <c r="I470" s="25" t="n">
        <v>0</v>
      </c>
      <c r="J470" s="25" t="n">
        <v>0</v>
      </c>
      <c r="K470" s="25" t="n">
        <v>0</v>
      </c>
      <c r="L470" s="25" t="n">
        <v>0</v>
      </c>
      <c r="M470" s="25" t="n">
        <v>0</v>
      </c>
      <c r="N470" s="25" t="n">
        <v>0</v>
      </c>
      <c r="O470" s="25" t="n">
        <v>0</v>
      </c>
      <c r="P470" s="21" t="n">
        <f aca="false">SUM(D470:O470)</f>
        <v>0</v>
      </c>
      <c r="Q470" s="25" t="n">
        <f aca="false">SUM(D470:J470)</f>
        <v>0</v>
      </c>
      <c r="R470" s="21" t="n">
        <f aca="false">P470-Q470</f>
        <v>0</v>
      </c>
    </row>
    <row r="471" customFormat="false" ht="12.75" hidden="false" customHeight="false" outlineLevel="0" collapsed="false">
      <c r="A471" s="22" t="s">
        <v>50</v>
      </c>
      <c r="C471" s="23" t="n">
        <v>0</v>
      </c>
      <c r="D471" s="23" t="n">
        <v>0</v>
      </c>
      <c r="E471" s="23" t="n">
        <v>0</v>
      </c>
      <c r="F471" s="23" t="n">
        <v>0</v>
      </c>
      <c r="G471" s="23" t="n">
        <v>0</v>
      </c>
      <c r="H471" s="23" t="n">
        <v>0</v>
      </c>
      <c r="I471" s="23" t="n">
        <v>0</v>
      </c>
      <c r="J471" s="23" t="n">
        <v>0</v>
      </c>
      <c r="K471" s="23" t="n">
        <v>0</v>
      </c>
      <c r="L471" s="23" t="n">
        <v>0</v>
      </c>
      <c r="M471" s="23" t="n">
        <v>0</v>
      </c>
      <c r="N471" s="23" t="n">
        <v>0</v>
      </c>
      <c r="O471" s="23" t="n">
        <v>0</v>
      </c>
      <c r="P471" s="24" t="n">
        <f aca="false">SUM(D471:O471)</f>
        <v>0</v>
      </c>
      <c r="Q471" s="23" t="n">
        <f aca="false">SUM(D471:J471)</f>
        <v>0</v>
      </c>
      <c r="R471" s="24" t="n">
        <f aca="false">P471-Q471</f>
        <v>0</v>
      </c>
    </row>
    <row r="472" customFormat="false" ht="3.95" hidden="false" customHeight="true" outlineLevel="0" collapsed="false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customFormat="false" ht="12.75" hidden="false" customHeight="false" outlineLevel="0" collapsed="false">
      <c r="A473" s="20" t="s">
        <v>261</v>
      </c>
      <c r="C473" s="25" t="n">
        <v>-897027</v>
      </c>
      <c r="D473" s="21" t="n">
        <f aca="false">SUM(D463:D472)</f>
        <v>-947651</v>
      </c>
      <c r="E473" s="21" t="n">
        <f aca="false">SUM(E463:E472)</f>
        <v>-937500</v>
      </c>
      <c r="F473" s="21" t="n">
        <f aca="false">SUM(F463:F472)</f>
        <v>-970640</v>
      </c>
      <c r="G473" s="21" t="n">
        <f aca="false">SUM(G463:G472)</f>
        <v>-1018504</v>
      </c>
      <c r="H473" s="21" t="n">
        <f aca="false">SUM(H463:H472)</f>
        <v>-1037688</v>
      </c>
      <c r="I473" s="21" t="n">
        <f aca="false">SUM(I463:I472)</f>
        <v>-1048458</v>
      </c>
      <c r="J473" s="21" t="n">
        <f aca="false">SUM(J463:J472)</f>
        <v>-1067891</v>
      </c>
      <c r="K473" s="21" t="n">
        <f aca="false">SUM(K463:K472)</f>
        <v>-1085805</v>
      </c>
      <c r="L473" s="21" t="n">
        <f aca="false">SUM(L463:L472)</f>
        <v>-1087205</v>
      </c>
      <c r="M473" s="21" t="n">
        <f aca="false">SUM(M463:M472)</f>
        <v>-1090605</v>
      </c>
      <c r="N473" s="21" t="n">
        <f aca="false">SUM(N463:N472)</f>
        <v>-1089105</v>
      </c>
      <c r="O473" s="21" t="n">
        <f aca="false">SUM(O463:O472)</f>
        <v>-1093605</v>
      </c>
      <c r="P473" s="21"/>
    </row>
    <row r="474" customFormat="false" ht="3.95" hidden="false" customHeight="true" outlineLevel="0" collapsed="false"/>
    <row r="475" customFormat="false" ht="12.75" hidden="false" customHeight="false" outlineLevel="0" collapsed="false">
      <c r="A475" s="22" t="s">
        <v>30</v>
      </c>
      <c r="D475" s="21" t="n">
        <f aca="false">D473-C473</f>
        <v>-50624</v>
      </c>
      <c r="E475" s="21" t="n">
        <f aca="false">E473-D473</f>
        <v>10151</v>
      </c>
      <c r="F475" s="21" t="n">
        <f aca="false">F473-E473</f>
        <v>-33140</v>
      </c>
      <c r="G475" s="21" t="n">
        <f aca="false">G473-F473</f>
        <v>-47864</v>
      </c>
      <c r="H475" s="21" t="n">
        <f aca="false">H473-G473</f>
        <v>-19184</v>
      </c>
      <c r="I475" s="21" t="n">
        <f aca="false">I473-H473</f>
        <v>-10770</v>
      </c>
      <c r="J475" s="21" t="n">
        <f aca="false">J473-I473</f>
        <v>-19433</v>
      </c>
      <c r="K475" s="21" t="n">
        <f aca="false">K473-J473</f>
        <v>-17914</v>
      </c>
      <c r="L475" s="21" t="n">
        <f aca="false">L473-K473</f>
        <v>-1400</v>
      </c>
      <c r="M475" s="21" t="n">
        <f aca="false">M473-L473</f>
        <v>-3400</v>
      </c>
      <c r="N475" s="21" t="n">
        <f aca="false">N473-M473</f>
        <v>1500</v>
      </c>
      <c r="O475" s="21" t="n">
        <f aca="false">O473-N473</f>
        <v>-4500</v>
      </c>
      <c r="P475" s="21" t="n">
        <f aca="false">SUM(D475:O475)</f>
        <v>-196578</v>
      </c>
      <c r="Q475" s="21" t="n">
        <f aca="false">SUM(Q471:Q472)</f>
        <v>0</v>
      </c>
      <c r="R475" s="21" t="n">
        <f aca="false">P475-Q475</f>
        <v>-196578</v>
      </c>
    </row>
    <row r="478" customFormat="false" ht="12.75" hidden="false" customHeight="false" outlineLevel="0" collapsed="false">
      <c r="A478" s="20" t="s">
        <v>262</v>
      </c>
      <c r="D478" s="21" t="n">
        <f aca="false">C485</f>
        <v>499666</v>
      </c>
      <c r="E478" s="21" t="n">
        <f aca="false">D485</f>
        <v>499672</v>
      </c>
      <c r="F478" s="21" t="n">
        <f aca="false">E485</f>
        <v>499678</v>
      </c>
      <c r="G478" s="21" t="n">
        <f aca="false">F485</f>
        <v>499685</v>
      </c>
      <c r="H478" s="21" t="n">
        <f aca="false">G485</f>
        <v>499691</v>
      </c>
      <c r="I478" s="21" t="n">
        <f aca="false">H485</f>
        <v>499698</v>
      </c>
      <c r="J478" s="21" t="n">
        <f aca="false">I485</f>
        <v>499704</v>
      </c>
      <c r="K478" s="21" t="n">
        <f aca="false">J485</f>
        <v>499711</v>
      </c>
      <c r="L478" s="21" t="n">
        <f aca="false">K485</f>
        <v>499717</v>
      </c>
      <c r="M478" s="21" t="n">
        <f aca="false">L485</f>
        <v>499724</v>
      </c>
      <c r="N478" s="21" t="n">
        <f aca="false">M485</f>
        <v>499730</v>
      </c>
      <c r="O478" s="21" t="n">
        <f aca="false">N485</f>
        <v>499737</v>
      </c>
    </row>
    <row r="479" customFormat="false" ht="12.75" hidden="false" customHeight="false" outlineLevel="0" collapsed="false">
      <c r="A479" s="22" t="s">
        <v>263</v>
      </c>
      <c r="C479" s="25" t="n">
        <v>250000</v>
      </c>
      <c r="D479" s="25" t="n">
        <v>0</v>
      </c>
      <c r="E479" s="25" t="n">
        <v>0</v>
      </c>
      <c r="F479" s="25" t="n">
        <v>0</v>
      </c>
      <c r="G479" s="25" t="n">
        <v>0</v>
      </c>
      <c r="H479" s="25" t="n">
        <v>0</v>
      </c>
      <c r="I479" s="25" t="n">
        <v>0</v>
      </c>
      <c r="J479" s="25" t="n">
        <v>0</v>
      </c>
      <c r="K479" s="25" t="n">
        <v>0</v>
      </c>
      <c r="L479" s="25" t="n">
        <v>0</v>
      </c>
      <c r="M479" s="25" t="n">
        <v>0</v>
      </c>
      <c r="N479" s="25" t="n">
        <v>0</v>
      </c>
      <c r="O479" s="25" t="n">
        <v>0</v>
      </c>
      <c r="P479" s="21" t="n">
        <f aca="false">SUM(D479:O479)</f>
        <v>0</v>
      </c>
      <c r="Q479" s="25" t="n">
        <f aca="false">SUM(D479:J479)</f>
        <v>0</v>
      </c>
      <c r="R479" s="21" t="n">
        <f aca="false">P479-Q479</f>
        <v>0</v>
      </c>
    </row>
    <row r="480" customFormat="false" ht="12.75" hidden="false" customHeight="false" outlineLevel="0" collapsed="false">
      <c r="A480" s="22" t="s">
        <v>264</v>
      </c>
      <c r="C480" s="25" t="n">
        <v>100000</v>
      </c>
      <c r="D480" s="25" t="n">
        <v>0</v>
      </c>
      <c r="E480" s="25" t="n">
        <v>0</v>
      </c>
      <c r="F480" s="25" t="n">
        <v>0</v>
      </c>
      <c r="G480" s="25" t="n">
        <v>0</v>
      </c>
      <c r="H480" s="25" t="n">
        <v>0</v>
      </c>
      <c r="I480" s="25" t="n">
        <v>0</v>
      </c>
      <c r="J480" s="25" t="n">
        <v>0</v>
      </c>
      <c r="K480" s="25" t="n">
        <v>0</v>
      </c>
      <c r="L480" s="25" t="n">
        <v>0</v>
      </c>
      <c r="M480" s="25" t="n">
        <v>0</v>
      </c>
      <c r="N480" s="25" t="n">
        <v>0</v>
      </c>
      <c r="O480" s="25" t="n">
        <v>0</v>
      </c>
      <c r="P480" s="21" t="n">
        <f aca="false">SUM(D480:O480)</f>
        <v>0</v>
      </c>
      <c r="Q480" s="25" t="n">
        <f aca="false">SUM(D480:J480)</f>
        <v>0</v>
      </c>
      <c r="R480" s="21" t="n">
        <f aca="false">P480-Q480</f>
        <v>0</v>
      </c>
    </row>
    <row r="481" customFormat="false" ht="12.75" hidden="false" customHeight="false" outlineLevel="0" collapsed="false">
      <c r="A481" s="22" t="s">
        <v>265</v>
      </c>
      <c r="C481" s="25" t="n">
        <v>150000</v>
      </c>
      <c r="D481" s="25" t="n">
        <v>0</v>
      </c>
      <c r="E481" s="25" t="n">
        <v>0</v>
      </c>
      <c r="F481" s="25" t="n">
        <v>0</v>
      </c>
      <c r="G481" s="25" t="n">
        <v>0</v>
      </c>
      <c r="H481" s="25" t="n">
        <v>0</v>
      </c>
      <c r="I481" s="25" t="n">
        <v>0</v>
      </c>
      <c r="J481" s="25" t="n">
        <v>0</v>
      </c>
      <c r="K481" s="25" t="n">
        <v>0</v>
      </c>
      <c r="L481" s="25" t="n">
        <v>0</v>
      </c>
      <c r="M481" s="25" t="n">
        <v>0</v>
      </c>
      <c r="N481" s="25" t="n">
        <v>0</v>
      </c>
      <c r="O481" s="25" t="n">
        <v>0</v>
      </c>
      <c r="P481" s="21" t="n">
        <f aca="false">SUM(D481:O481)</f>
        <v>0</v>
      </c>
      <c r="Q481" s="25" t="n">
        <f aca="false">SUM(D481:J481)</f>
        <v>0</v>
      </c>
      <c r="R481" s="21" t="n">
        <f aca="false">P481-Q481</f>
        <v>0</v>
      </c>
    </row>
    <row r="482" customFormat="false" ht="12.75" hidden="false" customHeight="false" outlineLevel="0" collapsed="false">
      <c r="A482" s="22" t="s">
        <v>266</v>
      </c>
      <c r="C482" s="25" t="n">
        <v>-334</v>
      </c>
      <c r="D482" s="25" t="n">
        <v>6</v>
      </c>
      <c r="E482" s="25" t="n">
        <v>6</v>
      </c>
      <c r="F482" s="25" t="n">
        <v>7</v>
      </c>
      <c r="G482" s="25" t="n">
        <v>6</v>
      </c>
      <c r="H482" s="25" t="n">
        <v>7</v>
      </c>
      <c r="I482" s="25" t="n">
        <v>6</v>
      </c>
      <c r="J482" s="25" t="n">
        <v>7</v>
      </c>
      <c r="K482" s="25" t="n">
        <v>6</v>
      </c>
      <c r="L482" s="25" t="n">
        <v>7</v>
      </c>
      <c r="M482" s="25" t="n">
        <v>6</v>
      </c>
      <c r="N482" s="25" t="n">
        <v>7</v>
      </c>
      <c r="O482" s="25" t="n">
        <v>6</v>
      </c>
      <c r="P482" s="21" t="n">
        <f aca="false">SUM(D482:O482)</f>
        <v>77</v>
      </c>
      <c r="Q482" s="25" t="n">
        <f aca="false">SUM(D482:J482)</f>
        <v>45</v>
      </c>
      <c r="R482" s="21" t="n">
        <f aca="false">P482-Q482</f>
        <v>32</v>
      </c>
    </row>
    <row r="483" customFormat="false" ht="12.75" hidden="false" customHeight="false" outlineLevel="0" collapsed="false">
      <c r="A483" s="22" t="s">
        <v>50</v>
      </c>
      <c r="C483" s="23" t="n">
        <v>0</v>
      </c>
      <c r="D483" s="23" t="n">
        <v>0</v>
      </c>
      <c r="E483" s="23" t="n">
        <v>0</v>
      </c>
      <c r="F483" s="23" t="n">
        <v>0</v>
      </c>
      <c r="G483" s="23" t="n">
        <v>0</v>
      </c>
      <c r="H483" s="23" t="n">
        <v>0</v>
      </c>
      <c r="I483" s="23" t="n">
        <v>0</v>
      </c>
      <c r="J483" s="23" t="n">
        <v>0</v>
      </c>
      <c r="K483" s="23" t="n">
        <v>0</v>
      </c>
      <c r="L483" s="23" t="n">
        <v>0</v>
      </c>
      <c r="M483" s="23" t="n">
        <v>0</v>
      </c>
      <c r="N483" s="23" t="n">
        <v>0</v>
      </c>
      <c r="O483" s="23" t="n">
        <v>0</v>
      </c>
      <c r="P483" s="24" t="n">
        <f aca="false">SUM(D483:O483)</f>
        <v>0</v>
      </c>
      <c r="Q483" s="23" t="n">
        <f aca="false">SUM(D483:J483)</f>
        <v>0</v>
      </c>
      <c r="R483" s="24" t="n">
        <f aca="false">P483-Q483</f>
        <v>0</v>
      </c>
    </row>
    <row r="484" customFormat="false" ht="3.95" hidden="false" customHeight="true" outlineLevel="0" collapsed="false">
      <c r="C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customFormat="false" ht="12.75" hidden="false" customHeight="false" outlineLevel="0" collapsed="false">
      <c r="A485" s="20" t="s">
        <v>267</v>
      </c>
      <c r="C485" s="21" t="n">
        <f aca="false">SUM(C478:C484)</f>
        <v>499666</v>
      </c>
      <c r="D485" s="21" t="n">
        <f aca="false">SUM(D478:D484)</f>
        <v>499672</v>
      </c>
      <c r="E485" s="21" t="n">
        <f aca="false">SUM(E478:E484)</f>
        <v>499678</v>
      </c>
      <c r="F485" s="21" t="n">
        <f aca="false">SUM(F478:F484)</f>
        <v>499685</v>
      </c>
      <c r="G485" s="21" t="n">
        <f aca="false">SUM(G478:G484)</f>
        <v>499691</v>
      </c>
      <c r="H485" s="21" t="n">
        <f aca="false">SUM(H478:H484)</f>
        <v>499698</v>
      </c>
      <c r="I485" s="21" t="n">
        <f aca="false">SUM(I478:I484)</f>
        <v>499704</v>
      </c>
      <c r="J485" s="21" t="n">
        <f aca="false">SUM(J478:J484)</f>
        <v>499711</v>
      </c>
      <c r="K485" s="21" t="n">
        <f aca="false">SUM(K478:K484)</f>
        <v>499717</v>
      </c>
      <c r="L485" s="21" t="n">
        <f aca="false">SUM(L478:L484)</f>
        <v>499724</v>
      </c>
      <c r="M485" s="21" t="n">
        <f aca="false">SUM(M478:M484)</f>
        <v>499730</v>
      </c>
      <c r="N485" s="21" t="n">
        <f aca="false">SUM(N478:N484)</f>
        <v>499737</v>
      </c>
      <c r="O485" s="21" t="n">
        <f aca="false">SUM(O478:O484)</f>
        <v>499743</v>
      </c>
      <c r="P485" s="21"/>
      <c r="Q485" s="21"/>
      <c r="R485" s="21"/>
    </row>
    <row r="486" customFormat="false" ht="3.95" hidden="false" customHeight="true" outlineLevel="0" collapsed="false"/>
    <row r="487" customFormat="false" ht="12.75" hidden="false" customHeight="false" outlineLevel="0" collapsed="false">
      <c r="A487" s="22" t="s">
        <v>30</v>
      </c>
      <c r="D487" s="21" t="n">
        <f aca="false">D485-C485</f>
        <v>6</v>
      </c>
      <c r="E487" s="21" t="n">
        <f aca="false">E485-D485</f>
        <v>6</v>
      </c>
      <c r="F487" s="21" t="n">
        <f aca="false">F485-E485</f>
        <v>7</v>
      </c>
      <c r="G487" s="21" t="n">
        <f aca="false">G485-F485</f>
        <v>6</v>
      </c>
      <c r="H487" s="21" t="n">
        <f aca="false">H485-G485</f>
        <v>7</v>
      </c>
      <c r="I487" s="21" t="n">
        <f aca="false">I485-H485</f>
        <v>6</v>
      </c>
      <c r="J487" s="21" t="n">
        <f aca="false">J485-I485</f>
        <v>7</v>
      </c>
      <c r="K487" s="21" t="n">
        <f aca="false">K485-J485</f>
        <v>6</v>
      </c>
      <c r="L487" s="21" t="n">
        <f aca="false">L485-K485</f>
        <v>7</v>
      </c>
      <c r="M487" s="21" t="n">
        <f aca="false">M485-L485</f>
        <v>6</v>
      </c>
      <c r="N487" s="21" t="n">
        <f aca="false">N485-M485</f>
        <v>7</v>
      </c>
      <c r="O487" s="21" t="n">
        <f aca="false">O485-N485</f>
        <v>6</v>
      </c>
      <c r="P487" s="21" t="n">
        <f aca="false">SUM(D487:O487)</f>
        <v>77</v>
      </c>
      <c r="Q487" s="21" t="n">
        <f aca="false">SUM(Q479:Q484)</f>
        <v>45</v>
      </c>
      <c r="R487" s="21" t="n">
        <f aca="false">P487-Q487</f>
        <v>32</v>
      </c>
    </row>
    <row r="490" customFormat="false" ht="12.75" hidden="false" customHeight="false" outlineLevel="0" collapsed="false">
      <c r="A490" s="20" t="s">
        <v>268</v>
      </c>
      <c r="D490" s="21" t="n">
        <f aca="false">C500</f>
        <v>1087527</v>
      </c>
      <c r="E490" s="21" t="n">
        <f aca="false">D500</f>
        <v>1107628</v>
      </c>
      <c r="F490" s="21" t="n">
        <f aca="false">E500</f>
        <v>1126280</v>
      </c>
      <c r="G490" s="21" t="n">
        <f aca="false">F500</f>
        <v>1138649</v>
      </c>
      <c r="H490" s="21" t="n">
        <f aca="false">G500</f>
        <v>1141747</v>
      </c>
      <c r="I490" s="21" t="n">
        <f aca="false">H500</f>
        <v>1142736</v>
      </c>
      <c r="J490" s="21" t="n">
        <f aca="false">I500</f>
        <v>1145702</v>
      </c>
      <c r="K490" s="21" t="n">
        <f aca="false">J500</f>
        <v>1147250</v>
      </c>
      <c r="L490" s="21" t="n">
        <f aca="false">K500</f>
        <v>1149724</v>
      </c>
      <c r="M490" s="21" t="n">
        <f aca="false">L500</f>
        <v>1150370</v>
      </c>
      <c r="N490" s="21" t="n">
        <f aca="false">M500</f>
        <v>1149185</v>
      </c>
      <c r="O490" s="21" t="n">
        <f aca="false">N500</f>
        <v>1165536</v>
      </c>
    </row>
    <row r="491" customFormat="false" ht="12.75" hidden="false" customHeight="false" outlineLevel="0" collapsed="false">
      <c r="A491" s="22" t="s">
        <v>269</v>
      </c>
      <c r="B491" s="27" t="s">
        <v>34</v>
      </c>
      <c r="C491" s="21"/>
      <c r="D491" s="30" t="n">
        <f aca="false">ROUND([1]Source!D56-D492-D493,0)+1</f>
        <v>19635</v>
      </c>
      <c r="E491" s="31" t="n">
        <f aca="false">ROUND([1]Source!E56-E492-E493,0)</f>
        <v>18785</v>
      </c>
      <c r="F491" s="30" t="n">
        <f aca="false">ROUND([1]Source!F56-F492-F493,0)-1</f>
        <v>17694</v>
      </c>
      <c r="G491" s="30" t="n">
        <f aca="false">ROUND([1]Source!G56-G492-G493,0)+4</f>
        <v>3083</v>
      </c>
      <c r="H491" s="30" t="n">
        <f aca="false">ROUND([1]Source!H56-H492-H493,0)-3</f>
        <v>989</v>
      </c>
      <c r="I491" s="21" t="n">
        <f aca="false">ROUND([1]Source!I56-I492-I493,0)</f>
        <v>2966</v>
      </c>
      <c r="J491" s="21" t="n">
        <f aca="false">ROUND([1]Source!J56-J492-J493,0)</f>
        <v>1548</v>
      </c>
      <c r="K491" s="21" t="n">
        <f aca="false">ROUND([1]Source!K56-K492-K493,0)</f>
        <v>2474</v>
      </c>
      <c r="L491" s="21" t="n">
        <f aca="false">ROUND([1]Source!L56-L492-L493,0)</f>
        <v>646</v>
      </c>
      <c r="M491" s="21" t="n">
        <f aca="false">ROUND([1]Source!M56-M492-M493,0)</f>
        <v>-1185</v>
      </c>
      <c r="N491" s="21" t="n">
        <f aca="false">ROUND([1]Source!N56-N492-N493,0)</f>
        <v>16351</v>
      </c>
      <c r="O491" s="21" t="n">
        <f aca="false">ROUND([1]Source!O56-O492-O493,0)</f>
        <v>16756</v>
      </c>
      <c r="P491" s="21" t="n">
        <f aca="false">SUM(D491:O491)</f>
        <v>99742</v>
      </c>
      <c r="Q491" s="25" t="n">
        <f aca="false">SUM(D491:J491)</f>
        <v>64700</v>
      </c>
      <c r="R491" s="21" t="n">
        <f aca="false">P491-Q491</f>
        <v>35042</v>
      </c>
    </row>
    <row r="492" customFormat="false" ht="12.75" hidden="false" customHeight="false" outlineLevel="0" collapsed="false">
      <c r="A492" s="22" t="s">
        <v>270</v>
      </c>
      <c r="D492" s="25" t="n">
        <v>0</v>
      </c>
      <c r="E492" s="25" t="n">
        <v>0</v>
      </c>
      <c r="F492" s="25" t="n">
        <v>0</v>
      </c>
      <c r="G492" s="25" t="n">
        <v>0</v>
      </c>
      <c r="H492" s="25" t="n">
        <v>0</v>
      </c>
      <c r="I492" s="25" t="n">
        <v>0</v>
      </c>
      <c r="J492" s="25" t="n">
        <v>0</v>
      </c>
      <c r="K492" s="25" t="n">
        <v>0</v>
      </c>
      <c r="L492" s="25" t="n">
        <v>0</v>
      </c>
      <c r="M492" s="25" t="n">
        <v>0</v>
      </c>
      <c r="N492" s="25" t="n">
        <v>0</v>
      </c>
      <c r="O492" s="25" t="n">
        <v>0</v>
      </c>
      <c r="P492" s="21" t="n">
        <f aca="false">SUM(D492:O492)</f>
        <v>0</v>
      </c>
      <c r="Q492" s="25" t="n">
        <f aca="false">SUM(D492:J492)</f>
        <v>0</v>
      </c>
      <c r="R492" s="21" t="n">
        <f aca="false">P492-Q492</f>
        <v>0</v>
      </c>
    </row>
    <row r="493" customFormat="false" ht="12.75" hidden="false" customHeight="false" outlineLevel="0" collapsed="false">
      <c r="A493" s="22" t="s">
        <v>271</v>
      </c>
      <c r="D493" s="25" t="n">
        <v>0</v>
      </c>
      <c r="E493" s="25" t="n">
        <v>0</v>
      </c>
      <c r="F493" s="25" t="n">
        <v>0</v>
      </c>
      <c r="G493" s="25" t="n">
        <v>0</v>
      </c>
      <c r="H493" s="25" t="n">
        <v>0</v>
      </c>
      <c r="I493" s="25" t="n">
        <v>0</v>
      </c>
      <c r="J493" s="25" t="n">
        <v>0</v>
      </c>
      <c r="K493" s="25" t="n">
        <v>0</v>
      </c>
      <c r="L493" s="25" t="n">
        <v>0</v>
      </c>
      <c r="M493" s="25" t="n">
        <v>0</v>
      </c>
      <c r="N493" s="25" t="n">
        <v>0</v>
      </c>
      <c r="O493" s="25" t="n">
        <v>0</v>
      </c>
      <c r="P493" s="21" t="n">
        <f aca="false">SUM(D493:O493)</f>
        <v>0</v>
      </c>
      <c r="Q493" s="25" t="n">
        <f aca="false">SUM(D493:J493)</f>
        <v>0</v>
      </c>
      <c r="R493" s="21" t="n">
        <f aca="false">P493-Q493</f>
        <v>0</v>
      </c>
    </row>
    <row r="494" customFormat="false" ht="12.75" hidden="false" customHeight="false" outlineLevel="0" collapsed="false">
      <c r="A494" s="22" t="s">
        <v>272</v>
      </c>
      <c r="B494" s="27"/>
      <c r="C494" s="25" t="n">
        <v>0</v>
      </c>
      <c r="D494" s="32" t="n">
        <f aca="false">D140-D455</f>
        <v>466</v>
      </c>
      <c r="E494" s="32" t="n">
        <f aca="false">E140-E455</f>
        <v>-133</v>
      </c>
      <c r="F494" s="32" t="n">
        <f aca="false">F140-F455</f>
        <v>-348</v>
      </c>
      <c r="G494" s="30" t="n">
        <f aca="false">G140-G455</f>
        <v>15</v>
      </c>
      <c r="H494" s="32" t="n">
        <f aca="false">H140-H455</f>
        <v>0</v>
      </c>
      <c r="I494" s="32" t="n">
        <f aca="false">I140-I455</f>
        <v>0</v>
      </c>
      <c r="J494" s="32" t="n">
        <f aca="false">J140-J455</f>
        <v>0</v>
      </c>
      <c r="K494" s="32" t="n">
        <f aca="false">K140-K455</f>
        <v>0</v>
      </c>
      <c r="L494" s="32" t="n">
        <f aca="false">L140-L455</f>
        <v>0</v>
      </c>
      <c r="M494" s="32" t="n">
        <f aca="false">M140-M455</f>
        <v>0</v>
      </c>
      <c r="N494" s="32" t="n">
        <f aca="false">N140-N455</f>
        <v>0</v>
      </c>
      <c r="O494" s="32" t="n">
        <f aca="false">O140-O455</f>
        <v>0</v>
      </c>
      <c r="P494" s="21" t="n">
        <f aca="false">SUM(D494:O494)</f>
        <v>0</v>
      </c>
      <c r="Q494" s="25" t="n">
        <f aca="false">SUM(D494:J494)</f>
        <v>0</v>
      </c>
      <c r="R494" s="21" t="n">
        <f aca="false">P494-Q494</f>
        <v>0</v>
      </c>
    </row>
    <row r="495" customFormat="false" ht="12.75" hidden="false" customHeight="false" outlineLevel="0" collapsed="false">
      <c r="A495" s="22" t="s">
        <v>273</v>
      </c>
      <c r="B495" s="27"/>
      <c r="C495" s="25" t="n">
        <v>0</v>
      </c>
      <c r="D495" s="25" t="n">
        <v>0</v>
      </c>
      <c r="E495" s="25" t="n">
        <v>0</v>
      </c>
      <c r="F495" s="25" t="n">
        <v>0</v>
      </c>
      <c r="G495" s="25" t="n">
        <v>0</v>
      </c>
      <c r="H495" s="25" t="n">
        <v>0</v>
      </c>
      <c r="I495" s="25" t="n">
        <v>0</v>
      </c>
      <c r="J495" s="25" t="n">
        <v>0</v>
      </c>
      <c r="K495" s="25" t="n">
        <v>0</v>
      </c>
      <c r="L495" s="25" t="n">
        <v>0</v>
      </c>
      <c r="M495" s="25" t="n">
        <v>0</v>
      </c>
      <c r="N495" s="25" t="n">
        <v>0</v>
      </c>
      <c r="O495" s="25" t="n">
        <v>0</v>
      </c>
      <c r="P495" s="21" t="n">
        <f aca="false">SUM(D495:O495)</f>
        <v>0</v>
      </c>
      <c r="Q495" s="25" t="n">
        <f aca="false">SUM(D495:J495)</f>
        <v>0</v>
      </c>
      <c r="R495" s="21" t="n">
        <f aca="false">P495-Q495</f>
        <v>0</v>
      </c>
    </row>
    <row r="496" customFormat="false" ht="12.75" hidden="false" customHeight="false" outlineLevel="0" collapsed="false">
      <c r="A496" s="22" t="s">
        <v>274</v>
      </c>
      <c r="D496" s="25" t="n">
        <v>0</v>
      </c>
      <c r="E496" s="25" t="n">
        <v>0</v>
      </c>
      <c r="F496" s="25" t="n">
        <v>0</v>
      </c>
      <c r="G496" s="25" t="n">
        <v>0</v>
      </c>
      <c r="H496" s="25" t="n">
        <v>0</v>
      </c>
      <c r="I496" s="25" t="n">
        <v>0</v>
      </c>
      <c r="J496" s="25" t="n">
        <v>0</v>
      </c>
      <c r="K496" s="25" t="n">
        <v>0</v>
      </c>
      <c r="L496" s="25" t="n">
        <v>0</v>
      </c>
      <c r="M496" s="25" t="n">
        <v>0</v>
      </c>
      <c r="N496" s="25" t="n">
        <v>0</v>
      </c>
      <c r="O496" s="25" t="n">
        <v>0</v>
      </c>
      <c r="P496" s="21" t="n">
        <f aca="false">SUM(D496:O496)</f>
        <v>0</v>
      </c>
      <c r="Q496" s="25" t="n">
        <f aca="false">SUM(D496:J496)</f>
        <v>0</v>
      </c>
      <c r="R496" s="21" t="n">
        <f aca="false">P496-Q496</f>
        <v>0</v>
      </c>
    </row>
    <row r="497" customFormat="false" ht="12.75" hidden="false" customHeight="false" outlineLevel="0" collapsed="false">
      <c r="A497" s="22" t="s">
        <v>275</v>
      </c>
      <c r="C497" s="25" t="n">
        <f aca="false">2453+(10000+1+1500)+22442</f>
        <v>36396</v>
      </c>
      <c r="D497" s="25" t="n">
        <v>0</v>
      </c>
      <c r="E497" s="25" t="n">
        <v>0</v>
      </c>
      <c r="F497" s="25" t="n">
        <v>0</v>
      </c>
      <c r="G497" s="25" t="n">
        <v>0</v>
      </c>
      <c r="H497" s="25" t="n">
        <v>0</v>
      </c>
      <c r="I497" s="25" t="n">
        <v>0</v>
      </c>
      <c r="J497" s="25" t="n">
        <v>0</v>
      </c>
      <c r="K497" s="25" t="n">
        <v>0</v>
      </c>
      <c r="L497" s="25" t="n">
        <v>0</v>
      </c>
      <c r="M497" s="25" t="n">
        <v>0</v>
      </c>
      <c r="N497" s="25" t="n">
        <v>0</v>
      </c>
      <c r="O497" s="25" t="n">
        <v>0</v>
      </c>
      <c r="P497" s="21" t="n">
        <f aca="false">SUM(D497:O497)</f>
        <v>0</v>
      </c>
      <c r="Q497" s="25" t="n">
        <f aca="false">SUM(D497:J497)</f>
        <v>0</v>
      </c>
      <c r="R497" s="21" t="n">
        <f aca="false">P497-Q497</f>
        <v>0</v>
      </c>
    </row>
    <row r="498" customFormat="false" ht="12.75" hidden="false" customHeight="false" outlineLevel="0" collapsed="false">
      <c r="A498" s="22" t="s">
        <v>276</v>
      </c>
      <c r="C498" s="23" t="n">
        <v>0</v>
      </c>
      <c r="D498" s="23" t="n">
        <v>0</v>
      </c>
      <c r="E498" s="23" t="n">
        <v>0</v>
      </c>
      <c r="F498" s="23" t="n">
        <f aca="false">-4967-10</f>
        <v>-4977</v>
      </c>
      <c r="G498" s="23" t="n">
        <v>0</v>
      </c>
      <c r="H498" s="23" t="n">
        <v>0</v>
      </c>
      <c r="I498" s="23" t="n">
        <v>0</v>
      </c>
      <c r="J498" s="23" t="n">
        <v>0</v>
      </c>
      <c r="K498" s="23" t="n">
        <v>0</v>
      </c>
      <c r="L498" s="23" t="n">
        <v>0</v>
      </c>
      <c r="M498" s="23" t="n">
        <v>0</v>
      </c>
      <c r="N498" s="23" t="n">
        <v>0</v>
      </c>
      <c r="O498" s="23" t="n">
        <v>0</v>
      </c>
      <c r="P498" s="24" t="n">
        <f aca="false">SUM(D498:O498)</f>
        <v>-4977</v>
      </c>
      <c r="Q498" s="23" t="n">
        <f aca="false">SUM(D498:J498)</f>
        <v>-4977</v>
      </c>
      <c r="R498" s="24" t="n">
        <f aca="false">P498-Q498</f>
        <v>0</v>
      </c>
    </row>
    <row r="499" customFormat="false" ht="3.95" hidden="false" customHeight="true" outlineLevel="0" collapsed="false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customFormat="false" ht="12.75" hidden="false" customHeight="false" outlineLevel="0" collapsed="false">
      <c r="A500" s="20" t="s">
        <v>277</v>
      </c>
      <c r="C500" s="25" t="n">
        <v>1087527</v>
      </c>
      <c r="D500" s="21" t="n">
        <f aca="false">SUM(D490:D499)</f>
        <v>1107628</v>
      </c>
      <c r="E500" s="21" t="n">
        <f aca="false">SUM(E490:E499)</f>
        <v>1126280</v>
      </c>
      <c r="F500" s="21" t="n">
        <f aca="false">SUM(F490:F499)</f>
        <v>1138649</v>
      </c>
      <c r="G500" s="21" t="n">
        <f aca="false">SUM(G490:G499)</f>
        <v>1141747</v>
      </c>
      <c r="H500" s="21" t="n">
        <f aca="false">SUM(H490:H499)</f>
        <v>1142736</v>
      </c>
      <c r="I500" s="21" t="n">
        <f aca="false">SUM(I490:I499)</f>
        <v>1145702</v>
      </c>
      <c r="J500" s="21" t="n">
        <f aca="false">SUM(J490:J499)</f>
        <v>1147250</v>
      </c>
      <c r="K500" s="21" t="n">
        <f aca="false">SUM(K490:K499)</f>
        <v>1149724</v>
      </c>
      <c r="L500" s="21" t="n">
        <f aca="false">SUM(L490:L499)</f>
        <v>1150370</v>
      </c>
      <c r="M500" s="21" t="n">
        <f aca="false">SUM(M490:M499)</f>
        <v>1149185</v>
      </c>
      <c r="N500" s="21" t="n">
        <f aca="false">SUM(N490:N499)</f>
        <v>1165536</v>
      </c>
      <c r="O500" s="21" t="n">
        <f aca="false">SUM(O490:O499)</f>
        <v>1182292</v>
      </c>
      <c r="P500" s="21"/>
      <c r="Q500" s="21"/>
      <c r="R500" s="21"/>
    </row>
    <row r="501" customFormat="false" ht="3.95" hidden="false" customHeight="true" outlineLevel="0" collapsed="false"/>
    <row r="502" customFormat="false" ht="12.75" hidden="false" customHeight="false" outlineLevel="0" collapsed="false">
      <c r="A502" s="22" t="s">
        <v>30</v>
      </c>
      <c r="D502" s="21" t="n">
        <f aca="false">D500-C500</f>
        <v>20101</v>
      </c>
      <c r="E502" s="21" t="n">
        <f aca="false">E500-D500</f>
        <v>18652</v>
      </c>
      <c r="F502" s="21" t="n">
        <f aca="false">F500-E500</f>
        <v>12369</v>
      </c>
      <c r="G502" s="21" t="n">
        <f aca="false">G500-F500</f>
        <v>3098</v>
      </c>
      <c r="H502" s="21" t="n">
        <f aca="false">H500-G500</f>
        <v>989</v>
      </c>
      <c r="I502" s="21" t="n">
        <f aca="false">I500-H500</f>
        <v>2966</v>
      </c>
      <c r="J502" s="21" t="n">
        <f aca="false">J500-I500</f>
        <v>1548</v>
      </c>
      <c r="K502" s="21" t="n">
        <f aca="false">K500-J500</f>
        <v>2474</v>
      </c>
      <c r="L502" s="21" t="n">
        <f aca="false">L500-K500</f>
        <v>646</v>
      </c>
      <c r="M502" s="21" t="n">
        <f aca="false">M500-L500</f>
        <v>-1185</v>
      </c>
      <c r="N502" s="21" t="n">
        <f aca="false">N500-M500</f>
        <v>16351</v>
      </c>
      <c r="O502" s="21" t="n">
        <f aca="false">O500-N500</f>
        <v>16756</v>
      </c>
      <c r="P502" s="21" t="n">
        <f aca="false">SUM(D502:O502)</f>
        <v>94765</v>
      </c>
      <c r="Q502" s="21" t="n">
        <f aca="false">SUM(Q491:Q499)</f>
        <v>59723</v>
      </c>
      <c r="R502" s="21" t="n">
        <f aca="false">P502-Q502</f>
        <v>35042</v>
      </c>
    </row>
    <row r="504" customFormat="false" ht="12.75" hidden="false" customHeight="false" outlineLevel="0" collapsed="false">
      <c r="A504" s="20" t="s">
        <v>278</v>
      </c>
      <c r="C504" s="42" t="n">
        <f aca="false">C299+C317+C333+C341+C366+C376+C386+C396+C416+C427+C436+C448+C458+C485+C500</f>
        <v>2056033</v>
      </c>
      <c r="D504" s="42" t="n">
        <f aca="false">D299+D317+D333+D341+D366+D376+D386+D396+D416+D427+D436+D448+D458+D485+D500</f>
        <v>2144174</v>
      </c>
      <c r="E504" s="42" t="n">
        <f aca="false">E299+E317+E333+E341+E366+E376+E386+E396+E416+E427+E436+E448+E458+E485+E500</f>
        <v>2117619</v>
      </c>
      <c r="F504" s="42" t="n">
        <f aca="false">F299+F317+F333+F341+F366+F376+F386+F396+F416+F427+F436+F448+F458+F485+F500</f>
        <v>2119251</v>
      </c>
      <c r="G504" s="42" t="n">
        <f aca="false">G299+G317+G333+G341+G366+G376+G386+G396+G416+G427+G436+G448+G458+G485+G500</f>
        <v>2139763</v>
      </c>
      <c r="H504" s="42" t="n">
        <f aca="false">H299+H317+H333+H341+H366+H376+H386+H396+H416+H427+H436+H448+H458+H485+H500</f>
        <v>2113806</v>
      </c>
      <c r="I504" s="42" t="n">
        <f aca="false">I299+I317+I333+I341+I366+I376+I386+I396+I416+I427+I436+I448+I458+I485+I500</f>
        <v>2098426</v>
      </c>
      <c r="J504" s="42" t="n">
        <f aca="false">J299+J317+J333+J341+J366+J376+J386+J396+J416+J427+J436+J448+J458+J485+J500</f>
        <v>2085765</v>
      </c>
      <c r="K504" s="42" t="n">
        <f aca="false">K299+K317+K333+K341+K366+K376+K386+K396+K416+K427+K436+K448+K458+K485+K500</f>
        <v>2099792</v>
      </c>
      <c r="L504" s="42" t="n">
        <f aca="false">L299+L317+L333+L341+L366+L376+L386+L396+L416+L427+L436+L448+L458+L485+L500</f>
        <v>2101658</v>
      </c>
      <c r="M504" s="42" t="n">
        <f aca="false">M299+M317+M333+M341+M366+M376+M386+M396+M416+M427+M436+M448+M458+M485+M500</f>
        <v>2088443</v>
      </c>
      <c r="N504" s="42" t="n">
        <f aca="false">N299+N317+N333+N341+N366+N376+N386+N396+N416+N427+N436+N448+N458+N485+N500</f>
        <v>2099313</v>
      </c>
      <c r="O504" s="42" t="n">
        <f aca="false">O299+O317+O333+O341+O366+O376+O386+O396+O416+O427+O436+O448+O458+O485+O500</f>
        <v>2096348</v>
      </c>
    </row>
    <row r="506" customFormat="false" ht="12.75" hidden="false" customHeight="false" outlineLevel="0" collapsed="false">
      <c r="A506" s="22" t="s">
        <v>174</v>
      </c>
      <c r="D506" s="21" t="n">
        <f aca="false">D504-C504</f>
        <v>88141</v>
      </c>
      <c r="E506" s="21" t="n">
        <f aca="false">E504-D504</f>
        <v>-26555</v>
      </c>
      <c r="F506" s="21" t="n">
        <f aca="false">F504-E504</f>
        <v>1632</v>
      </c>
      <c r="G506" s="21" t="n">
        <f aca="false">G504-F504</f>
        <v>20512</v>
      </c>
      <c r="H506" s="21" t="n">
        <f aca="false">H504-G504</f>
        <v>-25957</v>
      </c>
      <c r="I506" s="21" t="n">
        <f aca="false">I504-H504</f>
        <v>-15380</v>
      </c>
      <c r="J506" s="21" t="n">
        <f aca="false">J504-I504</f>
        <v>-12661</v>
      </c>
      <c r="K506" s="21" t="n">
        <f aca="false">K504-J504</f>
        <v>14027</v>
      </c>
      <c r="L506" s="21" t="n">
        <f aca="false">L504-K504</f>
        <v>1866</v>
      </c>
      <c r="M506" s="21" t="n">
        <f aca="false">M504-L504</f>
        <v>-13215</v>
      </c>
      <c r="N506" s="21" t="n">
        <f aca="false">N504-M504</f>
        <v>10870</v>
      </c>
      <c r="O506" s="21" t="n">
        <f aca="false">O504-N504</f>
        <v>-2965</v>
      </c>
      <c r="P506" s="21" t="n">
        <f aca="false">SUM(D506:O506)</f>
        <v>40315</v>
      </c>
      <c r="Q506" s="25" t="n">
        <f aca="false">SUM(D506:J506)</f>
        <v>29732</v>
      </c>
      <c r="R506" s="21" t="n">
        <f aca="false">P506-Q506</f>
        <v>10583</v>
      </c>
    </row>
    <row r="509" customFormat="false" ht="12.75" hidden="false" customHeight="false" outlineLevel="0" collapsed="false">
      <c r="A509" s="22" t="s">
        <v>279</v>
      </c>
      <c r="C509" s="21" t="n">
        <f aca="false">C272-C504</f>
        <v>0</v>
      </c>
      <c r="D509" s="21" t="n">
        <f aca="false">D272-D504</f>
        <v>0</v>
      </c>
      <c r="E509" s="21" t="n">
        <f aca="false">E272-E504</f>
        <v>0</v>
      </c>
      <c r="F509" s="21" t="n">
        <f aca="false">F272-F504</f>
        <v>0</v>
      </c>
      <c r="G509" s="21" t="n">
        <f aca="false">G272-G504</f>
        <v>0</v>
      </c>
      <c r="H509" s="21" t="n">
        <f aca="false">H272-H504</f>
        <v>0</v>
      </c>
      <c r="I509" s="21" t="n">
        <f aca="false">I272-I504</f>
        <v>0</v>
      </c>
      <c r="J509" s="21" t="n">
        <f aca="false">J272-J504</f>
        <v>0</v>
      </c>
      <c r="K509" s="21" t="n">
        <f aca="false">K272-K504</f>
        <v>0</v>
      </c>
      <c r="L509" s="21" t="n">
        <f aca="false">L272-L504</f>
        <v>0</v>
      </c>
      <c r="M509" s="21" t="n">
        <f aca="false">M272-M504</f>
        <v>0</v>
      </c>
      <c r="N509" s="21" t="n">
        <f aca="false">N272-N504</f>
        <v>0</v>
      </c>
      <c r="O509" s="21" t="n">
        <f aca="false">O272-O504</f>
        <v>0</v>
      </c>
      <c r="P509" s="21"/>
      <c r="Q509" s="21"/>
      <c r="R509" s="21"/>
    </row>
    <row r="510" customFormat="false" ht="12.75" hidden="false" customHeight="false" outlineLevel="0" collapsed="false">
      <c r="A510" s="22" t="s">
        <v>280</v>
      </c>
      <c r="D510" s="21" t="n">
        <f aca="false">D509-C509</f>
        <v>0</v>
      </c>
      <c r="E510" s="21" t="n">
        <f aca="false">E509-D509</f>
        <v>0</v>
      </c>
      <c r="F510" s="21" t="n">
        <f aca="false">F509-E509</f>
        <v>0</v>
      </c>
      <c r="G510" s="21" t="n">
        <f aca="false">G509-F509</f>
        <v>0</v>
      </c>
      <c r="H510" s="21" t="n">
        <f aca="false">H509-G509</f>
        <v>0</v>
      </c>
      <c r="I510" s="21" t="n">
        <f aca="false">I509-H509</f>
        <v>0</v>
      </c>
      <c r="J510" s="21" t="n">
        <f aca="false">J509-I509</f>
        <v>0</v>
      </c>
      <c r="K510" s="21" t="n">
        <f aca="false">K509-J509</f>
        <v>0</v>
      </c>
      <c r="L510" s="21" t="n">
        <f aca="false">L509-K509</f>
        <v>0</v>
      </c>
      <c r="M510" s="21" t="n">
        <f aca="false">M509-L509</f>
        <v>0</v>
      </c>
      <c r="N510" s="21" t="n">
        <f aca="false">N509-M509</f>
        <v>0</v>
      </c>
      <c r="O510" s="21" t="n">
        <f aca="false">O509-N509</f>
        <v>0</v>
      </c>
      <c r="P510" s="21" t="n">
        <f aca="false">SUM(D510:O510)</f>
        <v>0</v>
      </c>
    </row>
    <row r="511" customFormat="false" ht="8.1" hidden="false" customHeight="true" outlineLevel="0" collapsed="false"/>
    <row r="515" customFormat="false" ht="12.75" hidden="false" customHeight="false" outlineLevel="0" collapsed="false">
      <c r="C515" s="22" t="s">
        <v>281</v>
      </c>
      <c r="D515" s="22" t="s">
        <v>282</v>
      </c>
    </row>
    <row r="516" customFormat="false" ht="12.75" hidden="false" customHeight="false" outlineLevel="0" collapsed="false">
      <c r="D516" s="22" t="s">
        <v>283</v>
      </c>
    </row>
    <row r="517" customFormat="false" ht="12.75" hidden="false" customHeight="false" outlineLevel="0" collapsed="false">
      <c r="D517" s="22" t="s">
        <v>284</v>
      </c>
    </row>
    <row r="518" customFormat="false" ht="12.75" hidden="false" customHeight="false" outlineLevel="0" collapsed="false">
      <c r="D518" s="22" t="s">
        <v>285</v>
      </c>
    </row>
    <row r="519" customFormat="false" ht="12.75" hidden="false" customHeight="false" outlineLevel="0" collapsed="false">
      <c r="D519" s="22" t="s">
        <v>286</v>
      </c>
    </row>
    <row r="520" customFormat="false" ht="12.75" hidden="false" customHeight="false" outlineLevel="0" collapsed="false">
      <c r="D520" s="22" t="s">
        <v>287</v>
      </c>
    </row>
    <row r="521" customFormat="false" ht="12.75" hidden="false" customHeight="false" outlineLevel="0" collapsed="false">
      <c r="D521" s="22" t="s">
        <v>288</v>
      </c>
    </row>
    <row r="522" customFormat="false" ht="12.75" hidden="false" customHeight="false" outlineLevel="0" collapsed="false">
      <c r="D522" s="22" t="s">
        <v>289</v>
      </c>
    </row>
    <row r="523" customFormat="false" ht="12.75" hidden="false" customHeight="false" outlineLevel="0" collapsed="false">
      <c r="D523" s="22" t="s">
        <v>290</v>
      </c>
    </row>
    <row r="545" customFormat="false" ht="12.75" hidden="false" customHeight="false" outlineLevel="0" collapsed="false">
      <c r="D545" s="21"/>
    </row>
    <row r="553" customFormat="false" ht="12.75" hidden="false" customHeight="false" outlineLevel="0" collapsed="false">
      <c r="C553" s="21"/>
      <c r="D553" s="21"/>
    </row>
  </sheetData>
  <mergeCells count="4">
    <mergeCell ref="F1:J1"/>
    <mergeCell ref="F2:J2"/>
    <mergeCell ref="F3:J3"/>
    <mergeCell ref="F4:J4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AllPages">
                <anchor moveWithCells="true" sizeWithCells="false">
                  <from>
                    <xdr:col>0</xdr:col>
                    <xdr:colOff>624600</xdr:colOff>
                    <xdr:row>4</xdr:row>
                    <xdr:rowOff>0</xdr:rowOff>
                  </from>
                  <to>
                    <xdr:col>1</xdr:col>
                    <xdr:colOff>-1807920</xdr:colOff>
                    <xdr:row>7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P2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47" width="4.7"/>
    <col collapsed="false" customWidth="true" hidden="false" outlineLevel="0" max="2" min="2" style="47" width="45.7"/>
    <col collapsed="false" customWidth="true" hidden="false" outlineLevel="0" max="16" min="3" style="47" width="9.7"/>
    <col collapsed="false" customWidth="true" hidden="false" outlineLevel="0" max="26" min="17" style="47" width="1.7"/>
    <col collapsed="false" customWidth="true" hidden="false" outlineLevel="0" max="27" min="27" style="47" width="4.7"/>
    <col collapsed="false" customWidth="true" hidden="false" outlineLevel="0" max="28" min="28" style="47" width="45.7"/>
    <col collapsed="false" customWidth="true" hidden="false" outlineLevel="0" max="42" min="29" style="47" width="9.7"/>
    <col collapsed="false" customWidth="true" hidden="false" outlineLevel="0" max="52" min="43" style="47" width="1.7"/>
    <col collapsed="false" customWidth="true" hidden="false" outlineLevel="0" max="53" min="53" style="47" width="4.7"/>
    <col collapsed="false" customWidth="true" hidden="false" outlineLevel="0" max="54" min="54" style="47" width="45.7"/>
    <col collapsed="false" customWidth="true" hidden="false" outlineLevel="0" max="67" min="55" style="47" width="9.7"/>
    <col collapsed="false" customWidth="true" hidden="false" outlineLevel="0" max="78" min="68" style="47" width="1.7"/>
    <col collapsed="false" customWidth="true" hidden="false" outlineLevel="0" max="79" min="79" style="47" width="4.7"/>
    <col collapsed="false" customWidth="true" hidden="false" outlineLevel="0" max="80" min="80" style="47" width="43.7"/>
    <col collapsed="false" customWidth="true" hidden="false" outlineLevel="0" max="94" min="81" style="47" width="9.7"/>
    <col collapsed="false" customWidth="false" hidden="false" outlineLevel="0" max="257" min="95" style="47" width="10.71"/>
  </cols>
  <sheetData>
    <row r="1" customFormat="false" ht="12" hidden="false" customHeight="true" outlineLevel="0" collapsed="false">
      <c r="A1" s="48" t="str">
        <f aca="false">BACKUP!A1</f>
        <v>'file:///mnt/12tb/@roms/datasets/enron/EDRM Enron Email Data Set v2 XML/filtered-attachments/xls/NNG3rdCECF.xls'#$BACKUP</v>
      </c>
      <c r="B1" s="49"/>
      <c r="C1" s="49"/>
      <c r="D1" s="49"/>
      <c r="E1" s="49"/>
      <c r="F1" s="50" t="str">
        <f aca="false">BACKUP!F1</f>
        <v>NORTHERN NATURAL GAS GROUP</v>
      </c>
      <c r="G1" s="50"/>
      <c r="H1" s="50"/>
      <c r="I1" s="50"/>
      <c r="J1" s="49"/>
      <c r="K1" s="49"/>
      <c r="L1" s="49"/>
      <c r="M1" s="49"/>
      <c r="N1" s="49"/>
      <c r="O1" s="51" t="n">
        <f aca="true">NOW()</f>
        <v>45926.9494833515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 t="str">
        <f aca="false">A1</f>
        <v>'file:///mnt/12tb/@roms/datasets/enron/EDRM Enron Email Data Set v2 XML/filtered-attachments/xls/NNG3rdCECF.xls'#$BACKUP</v>
      </c>
      <c r="AB1" s="49"/>
      <c r="AC1" s="49"/>
      <c r="AD1" s="49"/>
      <c r="AE1" s="4" t="s">
        <v>291</v>
      </c>
      <c r="AF1" s="4"/>
      <c r="AG1" s="4"/>
      <c r="AH1" s="4"/>
      <c r="AI1" s="4"/>
      <c r="AJ1" s="4"/>
      <c r="AK1" s="49"/>
      <c r="AL1" s="49"/>
      <c r="AM1" s="49"/>
      <c r="AN1" s="49"/>
      <c r="AO1" s="51" t="n">
        <f aca="true">NOW()</f>
        <v>45926.9494833516</v>
      </c>
      <c r="AP1" s="52"/>
      <c r="AQ1" s="54"/>
      <c r="AR1" s="52"/>
      <c r="BA1" s="53" t="str">
        <f aca="false">A1</f>
        <v>'file:///mnt/12tb/@roms/datasets/enron/EDRM Enron Email Data Set v2 XML/filtered-attachments/xls/NNG3rdCECF.xls'#$BACKUP</v>
      </c>
      <c r="BF1" s="4" t="s">
        <v>292</v>
      </c>
      <c r="BG1" s="4"/>
      <c r="BH1" s="4"/>
      <c r="BI1" s="4"/>
      <c r="BO1" s="51" t="n">
        <f aca="true">NOW()</f>
        <v>45926.9494833517</v>
      </c>
      <c r="CA1" s="53" t="str">
        <f aca="false">A1</f>
        <v>'file:///mnt/12tb/@roms/datasets/enron/EDRM Enron Email Data Set v2 XML/filtered-attachments/xls/NNG3rdCECF.xls'#$BACKUP</v>
      </c>
      <c r="CB1" s="49"/>
      <c r="CC1" s="49"/>
      <c r="CD1" s="49"/>
      <c r="CE1" s="49"/>
      <c r="CF1" s="4" t="s">
        <v>293</v>
      </c>
      <c r="CG1" s="4"/>
      <c r="CH1" s="4"/>
      <c r="CI1" s="4"/>
      <c r="CJ1" s="49"/>
      <c r="CK1" s="49"/>
      <c r="CL1" s="49"/>
      <c r="CM1" s="49"/>
      <c r="CN1" s="49"/>
      <c r="CO1" s="51" t="n">
        <f aca="true">NOW()</f>
        <v>45926.9494833517</v>
      </c>
      <c r="CP1" s="52"/>
    </row>
    <row r="2" customFormat="false" ht="12" hidden="false" customHeight="true" outlineLevel="0" collapsed="false">
      <c r="A2" s="55"/>
      <c r="B2" s="49"/>
      <c r="C2" s="49"/>
      <c r="D2" s="49"/>
      <c r="E2" s="49"/>
      <c r="F2" s="56" t="s">
        <v>294</v>
      </c>
      <c r="G2" s="56"/>
      <c r="H2" s="56"/>
      <c r="I2" s="56"/>
      <c r="J2" s="49"/>
      <c r="K2" s="49"/>
      <c r="L2" s="49"/>
      <c r="M2" s="49"/>
      <c r="N2" s="49"/>
      <c r="O2" s="57" t="n">
        <f aca="true">NOW()</f>
        <v>45926.9494833518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8" t="s">
        <v>295</v>
      </c>
      <c r="AB2" s="49"/>
      <c r="AC2" s="49"/>
      <c r="AD2" s="49"/>
      <c r="AE2" s="49"/>
      <c r="AF2" s="50" t="str">
        <f aca="false">F2</f>
        <v>BALANCE SHEET</v>
      </c>
      <c r="AG2" s="50"/>
      <c r="AH2" s="50"/>
      <c r="AI2" s="50"/>
      <c r="AJ2" s="49"/>
      <c r="AK2" s="49"/>
      <c r="AL2" s="49"/>
      <c r="AM2" s="49"/>
      <c r="AN2" s="49"/>
      <c r="AO2" s="57" t="n">
        <f aca="true">NOW()</f>
        <v>45926.9494833518</v>
      </c>
      <c r="AP2" s="52"/>
      <c r="AQ2" s="59"/>
      <c r="AR2" s="52"/>
      <c r="BA2" s="58" t="s">
        <v>295</v>
      </c>
      <c r="BF2" s="50" t="str">
        <f aca="false">F2</f>
        <v>BALANCE SHEET</v>
      </c>
      <c r="BG2" s="50"/>
      <c r="BH2" s="50"/>
      <c r="BI2" s="50"/>
      <c r="BO2" s="57" t="n">
        <f aca="true">NOW()</f>
        <v>45926.9494833519</v>
      </c>
      <c r="CA2" s="58" t="s">
        <v>295</v>
      </c>
      <c r="CB2" s="49"/>
      <c r="CC2" s="49"/>
      <c r="CD2" s="49"/>
      <c r="CE2" s="49"/>
      <c r="CF2" s="50" t="str">
        <f aca="false">F2</f>
        <v>BALANCE SHEET</v>
      </c>
      <c r="CG2" s="50"/>
      <c r="CH2" s="50"/>
      <c r="CI2" s="50"/>
      <c r="CJ2" s="49"/>
      <c r="CK2" s="49"/>
      <c r="CL2" s="49"/>
      <c r="CM2" s="49"/>
      <c r="CN2" s="49"/>
      <c r="CO2" s="57" t="n">
        <f aca="true">NOW()</f>
        <v>45926.9494833519</v>
      </c>
      <c r="CP2" s="52"/>
    </row>
    <row r="3" customFormat="false" ht="12" hidden="false" customHeight="true" outlineLevel="0" collapsed="false">
      <c r="A3" s="60"/>
      <c r="B3" s="49"/>
      <c r="C3" s="49"/>
      <c r="D3" s="49"/>
      <c r="E3" s="49"/>
      <c r="F3" s="50" t="str">
        <f aca="false">BACKUP!F3</f>
        <v>2001 ACTUAL / ESTIMATE</v>
      </c>
      <c r="G3" s="50"/>
      <c r="H3" s="50"/>
      <c r="I3" s="50"/>
      <c r="J3" s="49"/>
      <c r="K3" s="49"/>
      <c r="L3" s="49"/>
      <c r="M3" s="49"/>
      <c r="N3" s="49"/>
      <c r="O3" s="49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60"/>
      <c r="AB3" s="49"/>
      <c r="AC3" s="49"/>
      <c r="AD3" s="49"/>
      <c r="AE3" s="49"/>
      <c r="AF3" s="50" t="str">
        <f aca="false">F3</f>
        <v>2001 ACTUAL / ESTIMATE</v>
      </c>
      <c r="AG3" s="50"/>
      <c r="AH3" s="50"/>
      <c r="AI3" s="50"/>
      <c r="AJ3" s="49"/>
      <c r="AK3" s="49"/>
      <c r="AL3" s="49"/>
      <c r="AM3" s="49"/>
      <c r="AN3" s="49"/>
      <c r="AO3" s="49"/>
      <c r="AP3" s="52"/>
      <c r="AQ3" s="52"/>
      <c r="AR3" s="52"/>
      <c r="BF3" s="50" t="str">
        <f aca="false">F3</f>
        <v>2001 ACTUAL / ESTIMATE</v>
      </c>
      <c r="BG3" s="50"/>
      <c r="BH3" s="50"/>
      <c r="BI3" s="50"/>
      <c r="CA3" s="60"/>
      <c r="CB3" s="49"/>
      <c r="CC3" s="49"/>
      <c r="CD3" s="49"/>
      <c r="CE3" s="49"/>
      <c r="CF3" s="50" t="str">
        <f aca="false">F3</f>
        <v>2001 ACTUAL / ESTIMATE</v>
      </c>
      <c r="CG3" s="50"/>
      <c r="CH3" s="50"/>
      <c r="CI3" s="50"/>
      <c r="CJ3" s="49"/>
      <c r="CK3" s="49"/>
      <c r="CL3" s="49"/>
      <c r="CM3" s="49"/>
      <c r="CN3" s="49"/>
      <c r="CO3" s="49"/>
      <c r="CP3" s="52"/>
    </row>
    <row r="4" customFormat="false" ht="12" hidden="false" customHeight="true" outlineLevel="0" collapsed="false">
      <c r="A4" s="49"/>
      <c r="B4" s="49"/>
      <c r="C4" s="49"/>
      <c r="D4" s="49"/>
      <c r="E4" s="49"/>
      <c r="F4" s="50" t="str">
        <f aca="false">BACKUP!F4</f>
        <v>(Thousands of Dollars)</v>
      </c>
      <c r="G4" s="50"/>
      <c r="H4" s="50"/>
      <c r="I4" s="50"/>
      <c r="J4" s="49"/>
      <c r="K4" s="49"/>
      <c r="L4" s="49"/>
      <c r="M4" s="49"/>
      <c r="N4" s="49"/>
      <c r="O4" s="49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49"/>
      <c r="AB4" s="49"/>
      <c r="AC4" s="49"/>
      <c r="AD4" s="49"/>
      <c r="AE4" s="49"/>
      <c r="AF4" s="50" t="str">
        <f aca="false">F4</f>
        <v>(Thousands of Dollars)</v>
      </c>
      <c r="AG4" s="50"/>
      <c r="AH4" s="50"/>
      <c r="AI4" s="50"/>
      <c r="AJ4" s="49"/>
      <c r="AK4" s="49"/>
      <c r="AL4" s="49"/>
      <c r="AM4" s="49"/>
      <c r="AN4" s="49"/>
      <c r="AO4" s="49"/>
      <c r="AP4" s="52"/>
      <c r="AQ4" s="52"/>
      <c r="AR4" s="52"/>
      <c r="BF4" s="50" t="str">
        <f aca="false">F4</f>
        <v>(Thousands of Dollars)</v>
      </c>
      <c r="BG4" s="50"/>
      <c r="BH4" s="50"/>
      <c r="BI4" s="50"/>
      <c r="CA4" s="49"/>
      <c r="CB4" s="49"/>
      <c r="CC4" s="49"/>
      <c r="CD4" s="49"/>
      <c r="CE4" s="49"/>
      <c r="CF4" s="50" t="str">
        <f aca="false">F4</f>
        <v>(Thousands of Dollars)</v>
      </c>
      <c r="CG4" s="50"/>
      <c r="CH4" s="50"/>
      <c r="CI4" s="50"/>
      <c r="CJ4" s="49"/>
      <c r="CK4" s="49"/>
      <c r="CL4" s="49"/>
      <c r="CM4" s="49"/>
      <c r="CN4" s="49"/>
      <c r="CO4" s="49"/>
      <c r="CP4" s="52"/>
    </row>
    <row r="5" customFormat="false" ht="12" hidden="false" customHeight="true" outlineLevel="0" collapsed="false">
      <c r="A5" s="49"/>
      <c r="B5" s="49"/>
      <c r="C5" s="6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49"/>
      <c r="AB5" s="49"/>
      <c r="AC5" s="61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52"/>
      <c r="AQ5" s="52"/>
      <c r="AR5" s="52"/>
      <c r="CA5" s="49"/>
      <c r="CB5" s="49"/>
      <c r="CC5" s="61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52"/>
    </row>
    <row r="6" customFormat="false" ht="12" hidden="false" customHeight="true" outlineLevel="0" collapsed="false">
      <c r="A6" s="49"/>
      <c r="B6" s="49"/>
      <c r="C6" s="62" t="n">
        <f aca="false">BACKUP!C5</f>
        <v>0</v>
      </c>
      <c r="D6" s="62"/>
      <c r="E6" s="0"/>
      <c r="F6" s="0"/>
      <c r="G6" s="0"/>
      <c r="H6" s="0"/>
      <c r="I6" s="15"/>
      <c r="J6" s="61"/>
      <c r="K6" s="49"/>
      <c r="L6" s="49"/>
      <c r="M6" s="49"/>
      <c r="N6" s="49"/>
      <c r="O6" s="49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49"/>
      <c r="AB6" s="49"/>
      <c r="AC6" s="63" t="n">
        <f aca="false">C6</f>
        <v>0</v>
      </c>
      <c r="AD6" s="49"/>
      <c r="AE6" s="49"/>
      <c r="AF6" s="61"/>
      <c r="AG6" s="61"/>
      <c r="AH6" s="49"/>
      <c r="AI6" s="49"/>
      <c r="AJ6" s="49"/>
      <c r="AK6" s="49"/>
      <c r="AL6" s="49"/>
      <c r="AM6" s="49"/>
      <c r="AN6" s="49"/>
      <c r="AO6" s="49"/>
      <c r="AP6" s="52"/>
      <c r="AQ6" s="52"/>
      <c r="AR6" s="52"/>
      <c r="BC6" s="64" t="n">
        <f aca="false">C6</f>
        <v>0</v>
      </c>
      <c r="CA6" s="49"/>
      <c r="CB6" s="49"/>
      <c r="CC6" s="61"/>
      <c r="CD6" s="49"/>
      <c r="CE6" s="49"/>
      <c r="CF6" s="61"/>
      <c r="CG6" s="61"/>
      <c r="CH6" s="49"/>
      <c r="CI6" s="49"/>
      <c r="CJ6" s="49"/>
      <c r="CK6" s="49"/>
      <c r="CL6" s="49"/>
      <c r="CM6" s="49"/>
      <c r="CN6" s="49"/>
      <c r="CO6" s="49"/>
      <c r="CP6" s="52"/>
    </row>
    <row r="7" customFormat="false" ht="12" hidden="false" customHeight="true" outlineLevel="0" collapsed="false">
      <c r="A7" s="49"/>
      <c r="B7" s="49"/>
      <c r="C7" s="62" t="str">
        <f aca="false">BACKUP!C6</f>
        <v>ACTUAL</v>
      </c>
      <c r="D7" s="62" t="str">
        <f aca="false">BACKUP!D7</f>
        <v>ACT.</v>
      </c>
      <c r="E7" s="62" t="str">
        <f aca="false">BACKUP!E7</f>
        <v>ACT.</v>
      </c>
      <c r="F7" s="62" t="str">
        <f aca="false">BACKUP!F7</f>
        <v>ACT.</v>
      </c>
      <c r="G7" s="62" t="str">
        <f aca="false">BACKUP!G7</f>
        <v>ACT.</v>
      </c>
      <c r="H7" s="62" t="str">
        <f aca="false">BACKUP!H7</f>
        <v>ACT.</v>
      </c>
      <c r="I7" s="62" t="str">
        <f aca="false">BACKUP!I7</f>
        <v>ACT.</v>
      </c>
      <c r="J7" s="62" t="str">
        <f aca="false">BACKUP!J7</f>
        <v>ACT.</v>
      </c>
      <c r="K7" s="62" t="str">
        <f aca="false">BACKUP!K7</f>
        <v>ACT.</v>
      </c>
      <c r="L7" s="62" t="str">
        <f aca="false">BACKUP!L7</f>
        <v>3rd CE</v>
      </c>
      <c r="M7" s="62" t="str">
        <f aca="false">BACKUP!M7</f>
        <v>3rd CE</v>
      </c>
      <c r="N7" s="62" t="str">
        <f aca="false">BACKUP!N7</f>
        <v>3rd CE</v>
      </c>
      <c r="O7" s="62" t="str">
        <f aca="false">BACKUP!O7</f>
        <v>3rd CE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49"/>
      <c r="AB7" s="49"/>
      <c r="AC7" s="63" t="str">
        <f aca="false">C7</f>
        <v>ACTUAL</v>
      </c>
      <c r="AD7" s="63" t="str">
        <f aca="false">D7</f>
        <v>ACT.</v>
      </c>
      <c r="AE7" s="63" t="str">
        <f aca="false">E7</f>
        <v>ACT.</v>
      </c>
      <c r="AF7" s="63" t="str">
        <f aca="false">F7</f>
        <v>ACT.</v>
      </c>
      <c r="AG7" s="63" t="str">
        <f aca="false">G7</f>
        <v>ACT.</v>
      </c>
      <c r="AH7" s="63" t="str">
        <f aca="false">H7</f>
        <v>ACT.</v>
      </c>
      <c r="AI7" s="63" t="str">
        <f aca="false">I7</f>
        <v>ACT.</v>
      </c>
      <c r="AJ7" s="63" t="str">
        <f aca="false">J7</f>
        <v>ACT.</v>
      </c>
      <c r="AK7" s="63" t="str">
        <f aca="false">K7</f>
        <v>ACT.</v>
      </c>
      <c r="AL7" s="63" t="str">
        <f aca="false">L7</f>
        <v>3rd CE</v>
      </c>
      <c r="AM7" s="63" t="str">
        <f aca="false">M7</f>
        <v>3rd CE</v>
      </c>
      <c r="AN7" s="63" t="str">
        <f aca="false">N7</f>
        <v>3rd CE</v>
      </c>
      <c r="AO7" s="63" t="str">
        <f aca="false">O7</f>
        <v>3rd CE</v>
      </c>
      <c r="AP7" s="52"/>
      <c r="AQ7" s="52"/>
      <c r="AR7" s="52"/>
      <c r="BC7" s="64" t="str">
        <f aca="false">C7</f>
        <v>ACTUAL</v>
      </c>
      <c r="BD7" s="64" t="str">
        <f aca="false">D7</f>
        <v>ACT.</v>
      </c>
      <c r="BE7" s="64" t="str">
        <f aca="false">E7</f>
        <v>ACT.</v>
      </c>
      <c r="BF7" s="64" t="str">
        <f aca="false">F7</f>
        <v>ACT.</v>
      </c>
      <c r="BG7" s="64" t="str">
        <f aca="false">G7</f>
        <v>ACT.</v>
      </c>
      <c r="BH7" s="64" t="str">
        <f aca="false">H7</f>
        <v>ACT.</v>
      </c>
      <c r="BI7" s="64" t="str">
        <f aca="false">I7</f>
        <v>ACT.</v>
      </c>
      <c r="BJ7" s="64" t="str">
        <f aca="false">J7</f>
        <v>ACT.</v>
      </c>
      <c r="BK7" s="64" t="str">
        <f aca="false">K7</f>
        <v>ACT.</v>
      </c>
      <c r="BL7" s="64" t="str">
        <f aca="false">L7</f>
        <v>3rd CE</v>
      </c>
      <c r="BM7" s="64" t="str">
        <f aca="false">M7</f>
        <v>3rd CE</v>
      </c>
      <c r="BN7" s="64" t="str">
        <f aca="false">N7</f>
        <v>3rd CE</v>
      </c>
      <c r="BO7" s="64" t="str">
        <f aca="false">O7</f>
        <v>3rd CE</v>
      </c>
      <c r="CA7" s="49"/>
      <c r="CB7" s="49"/>
      <c r="CC7" s="63" t="str">
        <f aca="false">C7</f>
        <v>ACTUAL</v>
      </c>
      <c r="CD7" s="63" t="str">
        <f aca="false">D7</f>
        <v>ACT.</v>
      </c>
      <c r="CE7" s="63" t="str">
        <f aca="false">E7</f>
        <v>ACT.</v>
      </c>
      <c r="CF7" s="63" t="str">
        <f aca="false">F7</f>
        <v>ACT.</v>
      </c>
      <c r="CG7" s="63" t="str">
        <f aca="false">G7</f>
        <v>ACT.</v>
      </c>
      <c r="CH7" s="63" t="str">
        <f aca="false">H7</f>
        <v>ACT.</v>
      </c>
      <c r="CI7" s="63" t="str">
        <f aca="false">I7</f>
        <v>ACT.</v>
      </c>
      <c r="CJ7" s="63" t="str">
        <f aca="false">J7</f>
        <v>ACT.</v>
      </c>
      <c r="CK7" s="63" t="str">
        <f aca="false">K7</f>
        <v>ACT.</v>
      </c>
      <c r="CL7" s="63" t="str">
        <f aca="false">L7</f>
        <v>3rd CE</v>
      </c>
      <c r="CM7" s="63" t="str">
        <f aca="false">M7</f>
        <v>3rd CE</v>
      </c>
      <c r="CN7" s="63" t="str">
        <f aca="false">N7</f>
        <v>3rd CE</v>
      </c>
      <c r="CO7" s="63" t="str">
        <f aca="false">O7</f>
        <v>3rd CE</v>
      </c>
      <c r="CP7" s="52"/>
    </row>
    <row r="8" customFormat="false" ht="12" hidden="false" customHeight="true" outlineLevel="0" collapsed="false">
      <c r="A8" s="49"/>
      <c r="B8" s="49"/>
      <c r="C8" s="62" t="str">
        <f aca="false">BACKUP!C7</f>
        <v>BALANCE </v>
      </c>
      <c r="D8" s="65" t="s">
        <v>13</v>
      </c>
      <c r="E8" s="65" t="s">
        <v>14</v>
      </c>
      <c r="F8" s="65" t="s">
        <v>15</v>
      </c>
      <c r="G8" s="65" t="s">
        <v>16</v>
      </c>
      <c r="H8" s="65" t="s">
        <v>17</v>
      </c>
      <c r="I8" s="65" t="s">
        <v>296</v>
      </c>
      <c r="J8" s="65" t="s">
        <v>19</v>
      </c>
      <c r="K8" s="65" t="s">
        <v>20</v>
      </c>
      <c r="L8" s="65" t="s">
        <v>21</v>
      </c>
      <c r="M8" s="65" t="s">
        <v>22</v>
      </c>
      <c r="N8" s="65" t="s">
        <v>23</v>
      </c>
      <c r="O8" s="65" t="s">
        <v>24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49"/>
      <c r="AB8" s="49"/>
      <c r="AC8" s="63" t="str">
        <f aca="false">C8</f>
        <v>BALANCE </v>
      </c>
      <c r="AD8" s="63" t="str">
        <f aca="false">D8</f>
        <v>JAN</v>
      </c>
      <c r="AE8" s="63" t="str">
        <f aca="false">E8</f>
        <v>FEB</v>
      </c>
      <c r="AF8" s="63" t="str">
        <f aca="false">F8</f>
        <v>MAR</v>
      </c>
      <c r="AG8" s="63" t="str">
        <f aca="false">G8</f>
        <v>APR</v>
      </c>
      <c r="AH8" s="63" t="str">
        <f aca="false">H8</f>
        <v>MAY</v>
      </c>
      <c r="AI8" s="63" t="str">
        <f aca="false">I8</f>
        <v>JUNE</v>
      </c>
      <c r="AJ8" s="63" t="str">
        <f aca="false">J8</f>
        <v>JUL</v>
      </c>
      <c r="AK8" s="63" t="str">
        <f aca="false">K8</f>
        <v>AUG</v>
      </c>
      <c r="AL8" s="63" t="str">
        <f aca="false">L8</f>
        <v>SEP</v>
      </c>
      <c r="AM8" s="63" t="str">
        <f aca="false">M8</f>
        <v>OCT</v>
      </c>
      <c r="AN8" s="63" t="str">
        <f aca="false">N8</f>
        <v>NOV</v>
      </c>
      <c r="AO8" s="63" t="str">
        <f aca="false">O8</f>
        <v>DEC</v>
      </c>
      <c r="AP8" s="52"/>
      <c r="AQ8" s="52"/>
      <c r="AR8" s="52"/>
      <c r="BC8" s="64" t="str">
        <f aca="false">C8</f>
        <v>BALANCE </v>
      </c>
      <c r="BD8" s="64" t="str">
        <f aca="false">D8</f>
        <v>JAN</v>
      </c>
      <c r="BE8" s="64" t="str">
        <f aca="false">E8</f>
        <v>FEB</v>
      </c>
      <c r="BF8" s="64" t="str">
        <f aca="false">F8</f>
        <v>MAR</v>
      </c>
      <c r="BG8" s="64" t="str">
        <f aca="false">G8</f>
        <v>APR</v>
      </c>
      <c r="BH8" s="64" t="str">
        <f aca="false">H8</f>
        <v>MAY</v>
      </c>
      <c r="BI8" s="64" t="str">
        <f aca="false">I8</f>
        <v>JUNE</v>
      </c>
      <c r="BJ8" s="64" t="str">
        <f aca="false">J8</f>
        <v>JUL</v>
      </c>
      <c r="BK8" s="64" t="str">
        <f aca="false">K8</f>
        <v>AUG</v>
      </c>
      <c r="BL8" s="64" t="str">
        <f aca="false">L8</f>
        <v>SEP</v>
      </c>
      <c r="BM8" s="64" t="str">
        <f aca="false">M8</f>
        <v>OCT</v>
      </c>
      <c r="BN8" s="64" t="str">
        <f aca="false">N8</f>
        <v>NOV</v>
      </c>
      <c r="BO8" s="64" t="str">
        <f aca="false">O8</f>
        <v>DEC</v>
      </c>
      <c r="CA8" s="49"/>
      <c r="CB8" s="49"/>
      <c r="CC8" s="63" t="str">
        <f aca="false">C8</f>
        <v>BALANCE </v>
      </c>
      <c r="CD8" s="63" t="str">
        <f aca="false">D8</f>
        <v>JAN</v>
      </c>
      <c r="CE8" s="63" t="str">
        <f aca="false">E8</f>
        <v>FEB</v>
      </c>
      <c r="CF8" s="63" t="str">
        <f aca="false">F8</f>
        <v>MAR</v>
      </c>
      <c r="CG8" s="63" t="str">
        <f aca="false">G8</f>
        <v>APR</v>
      </c>
      <c r="CH8" s="63" t="str">
        <f aca="false">H8</f>
        <v>MAY</v>
      </c>
      <c r="CI8" s="63" t="str">
        <f aca="false">I8</f>
        <v>JUNE</v>
      </c>
      <c r="CJ8" s="63" t="str">
        <f aca="false">J8</f>
        <v>JUL</v>
      </c>
      <c r="CK8" s="63" t="str">
        <f aca="false">K8</f>
        <v>AUG</v>
      </c>
      <c r="CL8" s="63" t="str">
        <f aca="false">L8</f>
        <v>SEP</v>
      </c>
      <c r="CM8" s="63" t="str">
        <f aca="false">M8</f>
        <v>OCT</v>
      </c>
      <c r="CN8" s="63" t="str">
        <f aca="false">N8</f>
        <v>NOV</v>
      </c>
      <c r="CO8" s="63" t="str">
        <f aca="false">O8</f>
        <v>DEC</v>
      </c>
      <c r="CP8" s="52"/>
    </row>
    <row r="9" customFormat="false" ht="12" hidden="false" customHeight="true" outlineLevel="0" collapsed="false">
      <c r="A9" s="49"/>
      <c r="B9" s="49"/>
      <c r="C9" s="66" t="str">
        <f aca="false">BACKUP!C8</f>
        <v>12/31/00</v>
      </c>
      <c r="D9" s="67" t="n">
        <v>2001</v>
      </c>
      <c r="E9" s="66" t="n">
        <f aca="false">D9</f>
        <v>2001</v>
      </c>
      <c r="F9" s="66" t="n">
        <f aca="false">E9</f>
        <v>2001</v>
      </c>
      <c r="G9" s="66" t="n">
        <f aca="false">F9</f>
        <v>2001</v>
      </c>
      <c r="H9" s="66" t="n">
        <f aca="false">G9</f>
        <v>2001</v>
      </c>
      <c r="I9" s="66" t="n">
        <f aca="false">H9</f>
        <v>2001</v>
      </c>
      <c r="J9" s="66" t="n">
        <f aca="false">I9</f>
        <v>2001</v>
      </c>
      <c r="K9" s="66" t="n">
        <f aca="false">J9</f>
        <v>2001</v>
      </c>
      <c r="L9" s="66" t="n">
        <f aca="false">K9</f>
        <v>2001</v>
      </c>
      <c r="M9" s="66" t="n">
        <f aca="false">L9</f>
        <v>2001</v>
      </c>
      <c r="N9" s="66" t="n">
        <f aca="false">M9</f>
        <v>2001</v>
      </c>
      <c r="O9" s="66" t="n">
        <f aca="false">N9</f>
        <v>2001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49"/>
      <c r="AB9" s="49"/>
      <c r="AC9" s="68" t="str">
        <f aca="false">C9</f>
        <v>12/31/00</v>
      </c>
      <c r="AD9" s="68" t="n">
        <f aca="false">D9</f>
        <v>2001</v>
      </c>
      <c r="AE9" s="68" t="n">
        <f aca="false">E9</f>
        <v>2001</v>
      </c>
      <c r="AF9" s="68" t="n">
        <f aca="false">F9</f>
        <v>2001</v>
      </c>
      <c r="AG9" s="68" t="n">
        <f aca="false">G9</f>
        <v>2001</v>
      </c>
      <c r="AH9" s="68" t="n">
        <f aca="false">H9</f>
        <v>2001</v>
      </c>
      <c r="AI9" s="68" t="n">
        <f aca="false">I9</f>
        <v>2001</v>
      </c>
      <c r="AJ9" s="68" t="n">
        <f aca="false">J9</f>
        <v>2001</v>
      </c>
      <c r="AK9" s="68" t="n">
        <f aca="false">K9</f>
        <v>2001</v>
      </c>
      <c r="AL9" s="68" t="n">
        <f aca="false">L9</f>
        <v>2001</v>
      </c>
      <c r="AM9" s="68" t="n">
        <f aca="false">M9</f>
        <v>2001</v>
      </c>
      <c r="AN9" s="68" t="n">
        <f aca="false">N9</f>
        <v>2001</v>
      </c>
      <c r="AO9" s="68" t="n">
        <f aca="false">O9</f>
        <v>2001</v>
      </c>
      <c r="AP9" s="52"/>
      <c r="AQ9" s="52"/>
      <c r="AR9" s="52"/>
      <c r="BC9" s="69" t="str">
        <f aca="false">C9</f>
        <v>12/31/00</v>
      </c>
      <c r="BD9" s="69" t="n">
        <f aca="false">D9</f>
        <v>2001</v>
      </c>
      <c r="BE9" s="69" t="n">
        <f aca="false">E9</f>
        <v>2001</v>
      </c>
      <c r="BF9" s="69" t="n">
        <f aca="false">F9</f>
        <v>2001</v>
      </c>
      <c r="BG9" s="69" t="n">
        <f aca="false">G9</f>
        <v>2001</v>
      </c>
      <c r="BH9" s="69" t="n">
        <f aca="false">H9</f>
        <v>2001</v>
      </c>
      <c r="BI9" s="69" t="n">
        <f aca="false">I9</f>
        <v>2001</v>
      </c>
      <c r="BJ9" s="69" t="n">
        <f aca="false">J9</f>
        <v>2001</v>
      </c>
      <c r="BK9" s="69" t="n">
        <f aca="false">K9</f>
        <v>2001</v>
      </c>
      <c r="BL9" s="69" t="n">
        <f aca="false">L9</f>
        <v>2001</v>
      </c>
      <c r="BM9" s="69" t="n">
        <f aca="false">M9</f>
        <v>2001</v>
      </c>
      <c r="BN9" s="69" t="n">
        <f aca="false">N9</f>
        <v>2001</v>
      </c>
      <c r="BO9" s="69" t="n">
        <f aca="false">O9</f>
        <v>2001</v>
      </c>
      <c r="CA9" s="49"/>
      <c r="CB9" s="49"/>
      <c r="CC9" s="68" t="str">
        <f aca="false">C9</f>
        <v>12/31/00</v>
      </c>
      <c r="CD9" s="68" t="n">
        <f aca="false">D9</f>
        <v>2001</v>
      </c>
      <c r="CE9" s="68" t="n">
        <f aca="false">E9</f>
        <v>2001</v>
      </c>
      <c r="CF9" s="68" t="n">
        <f aca="false">F9</f>
        <v>2001</v>
      </c>
      <c r="CG9" s="68" t="n">
        <f aca="false">G9</f>
        <v>2001</v>
      </c>
      <c r="CH9" s="68" t="n">
        <f aca="false">H9</f>
        <v>2001</v>
      </c>
      <c r="CI9" s="68" t="n">
        <f aca="false">I9</f>
        <v>2001</v>
      </c>
      <c r="CJ9" s="68" t="n">
        <f aca="false">J9</f>
        <v>2001</v>
      </c>
      <c r="CK9" s="68" t="n">
        <f aca="false">K9</f>
        <v>2001</v>
      </c>
      <c r="CL9" s="68" t="n">
        <f aca="false">L9</f>
        <v>2001</v>
      </c>
      <c r="CM9" s="68" t="n">
        <f aca="false">M9</f>
        <v>2001</v>
      </c>
      <c r="CN9" s="68" t="n">
        <f aca="false">N9</f>
        <v>2001</v>
      </c>
      <c r="CO9" s="68" t="n">
        <f aca="false">O9</f>
        <v>2001</v>
      </c>
      <c r="CP9" s="52"/>
    </row>
    <row r="10" customFormat="false" ht="6" hidden="false" customHeight="true" outlineLevel="0" collapsed="false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</row>
    <row r="11" customFormat="false" ht="12" hidden="false" customHeight="true" outlineLevel="0" collapsed="false">
      <c r="A11" s="49"/>
      <c r="B11" s="70" t="s">
        <v>297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49"/>
      <c r="AB11" s="70" t="str">
        <f aca="false">B11</f>
        <v>CURRENT ASSETS</v>
      </c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52"/>
      <c r="AQ11" s="52"/>
      <c r="AR11" s="52"/>
      <c r="BB11" s="70" t="str">
        <f aca="false">B11</f>
        <v>CURRENT ASSETS</v>
      </c>
      <c r="CA11" s="49"/>
      <c r="CB11" s="70" t="str">
        <f aca="false">B11</f>
        <v>CURRENT ASSETS</v>
      </c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52"/>
    </row>
    <row r="12" customFormat="false" ht="12" hidden="false" customHeight="true" outlineLevel="0" collapsed="false">
      <c r="A12" s="72" t="s">
        <v>298</v>
      </c>
      <c r="B12" s="73" t="s">
        <v>299</v>
      </c>
      <c r="C12" s="71" t="n">
        <f aca="false">BACKUP!C13</f>
        <v>53</v>
      </c>
      <c r="D12" s="71" t="n">
        <f aca="false">BACKUP!D13</f>
        <v>53</v>
      </c>
      <c r="E12" s="71" t="n">
        <f aca="false">BACKUP!E13</f>
        <v>53</v>
      </c>
      <c r="F12" s="71" t="n">
        <f aca="false">BACKUP!F13</f>
        <v>53</v>
      </c>
      <c r="G12" s="71" t="n">
        <f aca="false">BACKUP!G13</f>
        <v>53</v>
      </c>
      <c r="H12" s="71" t="n">
        <f aca="false">BACKUP!H13</f>
        <v>53</v>
      </c>
      <c r="I12" s="71" t="n">
        <f aca="false">BACKUP!I13</f>
        <v>53</v>
      </c>
      <c r="J12" s="71" t="n">
        <f aca="false">BACKUP!J13</f>
        <v>53</v>
      </c>
      <c r="K12" s="71" t="n">
        <f aca="false">BACKUP!K13</f>
        <v>53</v>
      </c>
      <c r="L12" s="71" t="n">
        <f aca="false">BACKUP!L13</f>
        <v>53</v>
      </c>
      <c r="M12" s="71" t="n">
        <f aca="false">BACKUP!M13</f>
        <v>53</v>
      </c>
      <c r="N12" s="71" t="n">
        <f aca="false">BACKUP!N13</f>
        <v>53</v>
      </c>
      <c r="O12" s="71" t="n">
        <f aca="false">BACKUP!O13</f>
        <v>53</v>
      </c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72" t="str">
        <f aca="false">A12</f>
        <v>1</v>
      </c>
      <c r="AB12" s="73" t="str">
        <f aca="false">B12</f>
        <v>   Cash &amp; Temporary Cash Investments</v>
      </c>
      <c r="AC12" s="74" t="n">
        <v>0</v>
      </c>
      <c r="AD12" s="74" t="n">
        <v>0</v>
      </c>
      <c r="AE12" s="74" t="n">
        <v>0</v>
      </c>
      <c r="AF12" s="74" t="n">
        <v>0</v>
      </c>
      <c r="AG12" s="74" t="n">
        <v>0</v>
      </c>
      <c r="AH12" s="74" t="n">
        <v>0</v>
      </c>
      <c r="AI12" s="74" t="n">
        <v>0</v>
      </c>
      <c r="AJ12" s="74" t="n">
        <v>0</v>
      </c>
      <c r="AK12" s="74" t="n">
        <v>0</v>
      </c>
      <c r="AL12" s="74" t="n">
        <v>0</v>
      </c>
      <c r="AM12" s="74" t="n">
        <v>0</v>
      </c>
      <c r="AN12" s="74" t="n">
        <v>0</v>
      </c>
      <c r="AO12" s="74" t="n">
        <v>0</v>
      </c>
      <c r="AP12" s="52"/>
      <c r="AQ12" s="71"/>
      <c r="AR12" s="52"/>
      <c r="BA12" s="72" t="str">
        <f aca="false">AA12</f>
        <v>1</v>
      </c>
      <c r="BB12" s="73" t="str">
        <f aca="false">B12</f>
        <v>   Cash &amp; Temporary Cash Investments</v>
      </c>
      <c r="BC12" s="74" t="n">
        <v>0</v>
      </c>
      <c r="BD12" s="74" t="n">
        <v>0</v>
      </c>
      <c r="BE12" s="74" t="n">
        <v>0</v>
      </c>
      <c r="BF12" s="74" t="n">
        <v>0</v>
      </c>
      <c r="BG12" s="74" t="n">
        <v>0</v>
      </c>
      <c r="BH12" s="74" t="n">
        <v>0</v>
      </c>
      <c r="BI12" s="74" t="n">
        <v>0</v>
      </c>
      <c r="BJ12" s="74" t="n">
        <v>0</v>
      </c>
      <c r="BK12" s="74" t="n">
        <v>0</v>
      </c>
      <c r="BL12" s="74" t="n">
        <v>0</v>
      </c>
      <c r="BM12" s="74" t="n">
        <v>0</v>
      </c>
      <c r="BN12" s="74" t="n">
        <v>0</v>
      </c>
      <c r="BO12" s="74" t="n">
        <v>0</v>
      </c>
      <c r="CA12" s="72" t="str">
        <f aca="false">A12</f>
        <v>1</v>
      </c>
      <c r="CB12" s="73" t="str">
        <f aca="false">B12</f>
        <v>   Cash &amp; Temporary Cash Investments</v>
      </c>
      <c r="CC12" s="75" t="n">
        <f aca="false">C12-AC12-BC12</f>
        <v>53</v>
      </c>
      <c r="CD12" s="75" t="n">
        <f aca="false">D12-AD12-BD12</f>
        <v>53</v>
      </c>
      <c r="CE12" s="75" t="n">
        <f aca="false">E12-AE12-BE12</f>
        <v>53</v>
      </c>
      <c r="CF12" s="75" t="n">
        <f aca="false">F12-AF12-BF12</f>
        <v>53</v>
      </c>
      <c r="CG12" s="75" t="n">
        <f aca="false">G12-AG12-BG12</f>
        <v>53</v>
      </c>
      <c r="CH12" s="75" t="n">
        <f aca="false">H12-AH12-BH12</f>
        <v>53</v>
      </c>
      <c r="CI12" s="75" t="n">
        <f aca="false">I12-AI12-BI12</f>
        <v>53</v>
      </c>
      <c r="CJ12" s="75" t="n">
        <f aca="false">J12-AJ12-BJ12</f>
        <v>53</v>
      </c>
      <c r="CK12" s="75" t="n">
        <f aca="false">K12-AK12-BK12</f>
        <v>53</v>
      </c>
      <c r="CL12" s="75" t="n">
        <f aca="false">L12-AL12-BL12</f>
        <v>53</v>
      </c>
      <c r="CM12" s="75" t="n">
        <f aca="false">M12-AM12-BM12</f>
        <v>53</v>
      </c>
      <c r="CN12" s="75" t="n">
        <f aca="false">N12-AN12-BN12</f>
        <v>53</v>
      </c>
      <c r="CO12" s="75" t="n">
        <f aca="false">O12-AO12-BO12</f>
        <v>53</v>
      </c>
      <c r="CP12" s="52"/>
    </row>
    <row r="13" customFormat="false" ht="12" hidden="false" customHeight="true" outlineLevel="0" collapsed="false">
      <c r="A13" s="72" t="s">
        <v>300</v>
      </c>
      <c r="B13" s="73" t="s">
        <v>301</v>
      </c>
      <c r="C13" s="71" t="n">
        <f aca="false">BACKUP!C33</f>
        <v>40542</v>
      </c>
      <c r="D13" s="71" t="n">
        <f aca="false">BACKUP!D33</f>
        <v>44439</v>
      </c>
      <c r="E13" s="71" t="n">
        <f aca="false">BACKUP!E33</f>
        <v>41453</v>
      </c>
      <c r="F13" s="71" t="n">
        <f aca="false">BACKUP!F33</f>
        <v>57404</v>
      </c>
      <c r="G13" s="71" t="n">
        <f aca="false">BACKUP!G33</f>
        <v>40956</v>
      </c>
      <c r="H13" s="71" t="n">
        <f aca="false">BACKUP!H33</f>
        <v>30453</v>
      </c>
      <c r="I13" s="71" t="n">
        <f aca="false">BACKUP!I33</f>
        <v>36741</v>
      </c>
      <c r="J13" s="71" t="n">
        <f aca="false">BACKUP!J33</f>
        <v>29898</v>
      </c>
      <c r="K13" s="71" t="n">
        <f aca="false">BACKUP!K33</f>
        <v>29869</v>
      </c>
      <c r="L13" s="71" t="n">
        <f aca="false">BACKUP!L33</f>
        <v>28120</v>
      </c>
      <c r="M13" s="71" t="n">
        <f aca="false">BACKUP!M33</f>
        <v>27501</v>
      </c>
      <c r="N13" s="71" t="n">
        <f aca="false">BACKUP!N33</f>
        <v>56488</v>
      </c>
      <c r="O13" s="71" t="n">
        <f aca="false">BACKUP!O33</f>
        <v>57686</v>
      </c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72" t="str">
        <f aca="false">A13</f>
        <v>2</v>
      </c>
      <c r="AB13" s="73" t="str">
        <f aca="false">B13</f>
        <v>   Accounts Receivable</v>
      </c>
      <c r="AC13" s="74" t="n">
        <v>0</v>
      </c>
      <c r="AD13" s="74" t="n">
        <v>0</v>
      </c>
      <c r="AE13" s="74" t="n">
        <v>0</v>
      </c>
      <c r="AF13" s="74" t="n">
        <v>0</v>
      </c>
      <c r="AG13" s="74" t="n">
        <v>0</v>
      </c>
      <c r="AH13" s="74" t="n">
        <v>0</v>
      </c>
      <c r="AI13" s="74" t="n">
        <v>0</v>
      </c>
      <c r="AJ13" s="74" t="n">
        <v>0</v>
      </c>
      <c r="AK13" s="74" t="n">
        <v>0</v>
      </c>
      <c r="AL13" s="74" t="n">
        <v>0</v>
      </c>
      <c r="AM13" s="74" t="n">
        <v>0</v>
      </c>
      <c r="AN13" s="74" t="n">
        <v>0</v>
      </c>
      <c r="AO13" s="74" t="n">
        <v>0</v>
      </c>
      <c r="AP13" s="52"/>
      <c r="AQ13" s="71"/>
      <c r="AR13" s="52"/>
      <c r="BA13" s="72" t="str">
        <f aca="false">AA13</f>
        <v>2</v>
      </c>
      <c r="BB13" s="73" t="str">
        <f aca="false">B13</f>
        <v>   Accounts Receivable</v>
      </c>
      <c r="BC13" s="74" t="n">
        <v>0</v>
      </c>
      <c r="BD13" s="74" t="n">
        <v>0</v>
      </c>
      <c r="BE13" s="74" t="n">
        <v>0</v>
      </c>
      <c r="BF13" s="74" t="n">
        <v>0</v>
      </c>
      <c r="BG13" s="74" t="n">
        <v>0</v>
      </c>
      <c r="BH13" s="74" t="n">
        <v>0</v>
      </c>
      <c r="BI13" s="74" t="n">
        <v>0</v>
      </c>
      <c r="BJ13" s="74" t="n">
        <v>0</v>
      </c>
      <c r="BK13" s="74" t="n">
        <v>0</v>
      </c>
      <c r="BL13" s="74" t="n">
        <v>0</v>
      </c>
      <c r="BM13" s="74" t="n">
        <v>0</v>
      </c>
      <c r="BN13" s="74" t="n">
        <v>0</v>
      </c>
      <c r="BO13" s="74" t="n">
        <v>0</v>
      </c>
      <c r="CA13" s="72" t="str">
        <f aca="false">A13</f>
        <v>2</v>
      </c>
      <c r="CB13" s="73" t="str">
        <f aca="false">B13</f>
        <v>   Accounts Receivable</v>
      </c>
      <c r="CC13" s="75" t="n">
        <f aca="false">C13-AC13-BC13</f>
        <v>40542</v>
      </c>
      <c r="CD13" s="75" t="n">
        <f aca="false">D13-AD13-BD13</f>
        <v>44439</v>
      </c>
      <c r="CE13" s="75" t="n">
        <f aca="false">E13-AE13-BE13</f>
        <v>41453</v>
      </c>
      <c r="CF13" s="75" t="n">
        <f aca="false">F13-AF13-BF13</f>
        <v>57404</v>
      </c>
      <c r="CG13" s="75" t="n">
        <f aca="false">G13-AG13-BG13</f>
        <v>40956</v>
      </c>
      <c r="CH13" s="75" t="n">
        <f aca="false">H13-AH13-BH13</f>
        <v>30453</v>
      </c>
      <c r="CI13" s="75" t="n">
        <f aca="false">I13-AI13-BI13</f>
        <v>36741</v>
      </c>
      <c r="CJ13" s="75" t="n">
        <f aca="false">J13-AJ13-BJ13</f>
        <v>29898</v>
      </c>
      <c r="CK13" s="75" t="n">
        <f aca="false">K13-AK13-BK13</f>
        <v>29869</v>
      </c>
      <c r="CL13" s="75" t="n">
        <f aca="false">L13-AL13-BL13</f>
        <v>28120</v>
      </c>
      <c r="CM13" s="75" t="n">
        <f aca="false">M13-AM13-BM13</f>
        <v>27501</v>
      </c>
      <c r="CN13" s="75" t="n">
        <f aca="false">N13-AN13-BN13</f>
        <v>56488</v>
      </c>
      <c r="CO13" s="75" t="n">
        <f aca="false">O13-AO13-BO13</f>
        <v>57686</v>
      </c>
      <c r="CP13" s="52"/>
    </row>
    <row r="14" customFormat="false" ht="12" hidden="false" customHeight="true" outlineLevel="0" collapsed="false">
      <c r="A14" s="72" t="s">
        <v>302</v>
      </c>
      <c r="B14" s="73" t="s">
        <v>303</v>
      </c>
      <c r="C14" s="71" t="n">
        <f aca="false">-BACKUP!C473</f>
        <v>897027</v>
      </c>
      <c r="D14" s="71" t="n">
        <f aca="false">-BACKUP!D473</f>
        <v>947651</v>
      </c>
      <c r="E14" s="71" t="n">
        <f aca="false">-BACKUP!E473</f>
        <v>937500</v>
      </c>
      <c r="F14" s="71" t="n">
        <f aca="false">-BACKUP!F473</f>
        <v>970640</v>
      </c>
      <c r="G14" s="71" t="n">
        <f aca="false">-BACKUP!G473</f>
        <v>1018504</v>
      </c>
      <c r="H14" s="71" t="n">
        <f aca="false">-BACKUP!H473</f>
        <v>1037688</v>
      </c>
      <c r="I14" s="71" t="n">
        <f aca="false">-BACKUP!I473</f>
        <v>1048458</v>
      </c>
      <c r="J14" s="71" t="n">
        <f aca="false">-BACKUP!J473</f>
        <v>1067891</v>
      </c>
      <c r="K14" s="71" t="n">
        <f aca="false">-BACKUP!K473</f>
        <v>1085805</v>
      </c>
      <c r="L14" s="71" t="n">
        <f aca="false">-BACKUP!L473</f>
        <v>1087205</v>
      </c>
      <c r="M14" s="71" t="n">
        <f aca="false">-BACKUP!M473</f>
        <v>1090605</v>
      </c>
      <c r="N14" s="71" t="n">
        <f aca="false">-BACKUP!N473</f>
        <v>1089105</v>
      </c>
      <c r="O14" s="71" t="n">
        <f aca="false">-BACKUP!O473</f>
        <v>1093605</v>
      </c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72" t="str">
        <f aca="false">A14</f>
        <v>I</v>
      </c>
      <c r="AB14" s="73" t="str">
        <f aca="false">B14</f>
        <v>   Enron Corporate - Receivable (Acct. 1466)</v>
      </c>
      <c r="AC14" s="74" t="n">
        <v>26553</v>
      </c>
      <c r="AD14" s="76" t="n">
        <f aca="false">AC14-[1]IncomeState!C$152-1</f>
        <v>26284</v>
      </c>
      <c r="AE14" s="77" t="n">
        <f aca="false">AD14-[1]IncomeState!D$152</f>
        <v>26085</v>
      </c>
      <c r="AF14" s="76" t="n">
        <f aca="false">AE14-[1]IncomeState!E$152+800-5039+1</f>
        <v>21652</v>
      </c>
      <c r="AG14" s="77" t="n">
        <f aca="false">AF14-[1]IncomeState!F$152</f>
        <v>21118</v>
      </c>
      <c r="AH14" s="76" t="n">
        <f aca="false">AG14-[1]IncomeState!G$152-2</f>
        <v>20921</v>
      </c>
      <c r="AI14" s="76" t="n">
        <f aca="false">AH14-[1]IncomeState!H$152+800+3000</f>
        <v>24484</v>
      </c>
      <c r="AJ14" s="76" t="n">
        <f aca="false">AI14-[1]IncomeState!I$152+33-33</f>
        <v>24282</v>
      </c>
      <c r="AK14" s="76" t="n">
        <f aca="false">AJ14-[1]IncomeState!J$152+2000</f>
        <v>26102</v>
      </c>
      <c r="AL14" s="76" t="n">
        <f aca="false">AK14-[1]IncomeState!K$152+800</f>
        <v>26702</v>
      </c>
      <c r="AM14" s="77" t="n">
        <f aca="false">AL14-[1]IncomeState!L$152</f>
        <v>26458</v>
      </c>
      <c r="AN14" s="77" t="n">
        <f aca="false">AM14-[1]IncomeState!M$152</f>
        <v>26200</v>
      </c>
      <c r="AO14" s="76" t="n">
        <f aca="false">AN14-[1]IncomeState!N$152+800</f>
        <v>26999</v>
      </c>
      <c r="AP14" s="52"/>
      <c r="AQ14" s="71"/>
      <c r="AR14" s="52"/>
      <c r="BA14" s="72" t="str">
        <f aca="false">AA14</f>
        <v>I</v>
      </c>
      <c r="BB14" s="73" t="str">
        <f aca="false">B14</f>
        <v>   Enron Corporate - Receivable (Acct. 1466)</v>
      </c>
      <c r="BC14" s="74" t="n">
        <v>80</v>
      </c>
      <c r="BD14" s="77" t="n">
        <f aca="false">BC14</f>
        <v>80</v>
      </c>
      <c r="BE14" s="77" t="n">
        <f aca="false">BD14</f>
        <v>80</v>
      </c>
      <c r="BF14" s="77" t="n">
        <f aca="false">BE14</f>
        <v>80</v>
      </c>
      <c r="BG14" s="77" t="n">
        <f aca="false">BF14</f>
        <v>80</v>
      </c>
      <c r="BH14" s="77" t="n">
        <f aca="false">BG14</f>
        <v>80</v>
      </c>
      <c r="BI14" s="77" t="n">
        <f aca="false">BH14</f>
        <v>80</v>
      </c>
      <c r="BJ14" s="77" t="n">
        <f aca="false">BI14</f>
        <v>80</v>
      </c>
      <c r="BK14" s="77" t="n">
        <f aca="false">BJ14</f>
        <v>80</v>
      </c>
      <c r="BL14" s="77" t="n">
        <f aca="false">BK14</f>
        <v>80</v>
      </c>
      <c r="BM14" s="77" t="n">
        <f aca="false">BL14</f>
        <v>80</v>
      </c>
      <c r="BN14" s="77" t="n">
        <f aca="false">BM14</f>
        <v>80</v>
      </c>
      <c r="BO14" s="77" t="n">
        <f aca="false">BN14</f>
        <v>80</v>
      </c>
      <c r="CA14" s="72" t="str">
        <f aca="false">A14</f>
        <v>I</v>
      </c>
      <c r="CB14" s="73" t="str">
        <f aca="false">B14</f>
        <v>   Enron Corporate - Receivable (Acct. 1466)</v>
      </c>
      <c r="CC14" s="75" t="n">
        <f aca="false">C14-AC14-BC14</f>
        <v>870394</v>
      </c>
      <c r="CD14" s="75" t="n">
        <f aca="false">D14-AD14-BD14</f>
        <v>921287</v>
      </c>
      <c r="CE14" s="75" t="n">
        <f aca="false">E14-AE14-BE14</f>
        <v>911335</v>
      </c>
      <c r="CF14" s="75" t="n">
        <f aca="false">F14-AF14-BF14</f>
        <v>948908</v>
      </c>
      <c r="CG14" s="75" t="n">
        <f aca="false">G14-AG14-BG14</f>
        <v>997306</v>
      </c>
      <c r="CH14" s="75" t="n">
        <f aca="false">H14-AH14-BH14</f>
        <v>1016687</v>
      </c>
      <c r="CI14" s="75" t="n">
        <f aca="false">I14-AI14-BI14</f>
        <v>1023894</v>
      </c>
      <c r="CJ14" s="75" t="n">
        <f aca="false">J14-AJ14-BJ14</f>
        <v>1043529</v>
      </c>
      <c r="CK14" s="75" t="n">
        <f aca="false">K14-AK14-BK14</f>
        <v>1059623</v>
      </c>
      <c r="CL14" s="75" t="n">
        <f aca="false">L14-AL14-BL14</f>
        <v>1060423</v>
      </c>
      <c r="CM14" s="75" t="n">
        <f aca="false">M14-AM14-BM14</f>
        <v>1064067</v>
      </c>
      <c r="CN14" s="75" t="n">
        <f aca="false">N14-AN14-BN14</f>
        <v>1062825</v>
      </c>
      <c r="CO14" s="75" t="n">
        <f aca="false">O14-AO14-BO14</f>
        <v>1066526</v>
      </c>
      <c r="CP14" s="52"/>
    </row>
    <row r="15" customFormat="false" ht="12" hidden="false" customHeight="true" outlineLevel="0" collapsed="false">
      <c r="A15" s="72" t="s">
        <v>302</v>
      </c>
      <c r="B15" s="73" t="s">
        <v>304</v>
      </c>
      <c r="C15" s="71" t="n">
        <f aca="false">-BACKUP!C308</f>
        <v>-573870</v>
      </c>
      <c r="D15" s="71" t="n">
        <f aca="false">-BACKUP!D308</f>
        <v>-593130</v>
      </c>
      <c r="E15" s="71" t="n">
        <f aca="false">-BACKUP!E308</f>
        <v>-612073</v>
      </c>
      <c r="F15" s="71" t="n">
        <f aca="false">-BACKUP!F308</f>
        <v>-636921</v>
      </c>
      <c r="G15" s="71" t="n">
        <f aca="false">-BACKUP!G308</f>
        <v>-637328</v>
      </c>
      <c r="H15" s="71" t="n">
        <f aca="false">-BACKUP!H308</f>
        <v>-643167</v>
      </c>
      <c r="I15" s="71" t="n">
        <f aca="false">-BACKUP!I308</f>
        <v>-656330</v>
      </c>
      <c r="J15" s="71" t="n">
        <f aca="false">-BACKUP!J308</f>
        <v>-664746</v>
      </c>
      <c r="K15" s="71" t="n">
        <f aca="false">-BACKUP!K308</f>
        <v>-670646</v>
      </c>
      <c r="L15" s="71" t="n">
        <f aca="false">-BACKUP!L308</f>
        <v>-677446</v>
      </c>
      <c r="M15" s="71" t="n">
        <f aca="false">-BACKUP!M308</f>
        <v>-697446</v>
      </c>
      <c r="N15" s="71" t="n">
        <f aca="false">-BACKUP!N308</f>
        <v>-717946</v>
      </c>
      <c r="O15" s="71" t="n">
        <f aca="false">-BACKUP!O308</f>
        <v>-736746</v>
      </c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72"/>
      <c r="AB15" s="73" t="str">
        <f aca="false">B15</f>
        <v>                            - Payable (Acct. 1460)</v>
      </c>
      <c r="AC15" s="74" t="n">
        <v>0</v>
      </c>
      <c r="AD15" s="74" t="n">
        <v>0</v>
      </c>
      <c r="AE15" s="74" t="n">
        <v>0</v>
      </c>
      <c r="AF15" s="74" t="n">
        <v>0</v>
      </c>
      <c r="AG15" s="74" t="n">
        <v>0</v>
      </c>
      <c r="AH15" s="74" t="n">
        <v>0</v>
      </c>
      <c r="AI15" s="74" t="n">
        <v>0</v>
      </c>
      <c r="AJ15" s="74" t="n">
        <v>0</v>
      </c>
      <c r="AK15" s="74" t="n">
        <v>0</v>
      </c>
      <c r="AL15" s="74" t="n">
        <v>0</v>
      </c>
      <c r="AM15" s="74" t="n">
        <v>0</v>
      </c>
      <c r="AN15" s="74" t="n">
        <v>0</v>
      </c>
      <c r="AO15" s="74" t="n">
        <v>0</v>
      </c>
      <c r="AP15" s="52"/>
      <c r="AQ15" s="71"/>
      <c r="AR15" s="52"/>
      <c r="BA15" s="72"/>
      <c r="BB15" s="73" t="str">
        <f aca="false">B15</f>
        <v>                            - Payable (Acct. 1460)</v>
      </c>
      <c r="BC15" s="74" t="n">
        <v>0</v>
      </c>
      <c r="BD15" s="74" t="n">
        <v>0</v>
      </c>
      <c r="BE15" s="74" t="n">
        <v>0</v>
      </c>
      <c r="BF15" s="74" t="n">
        <v>0</v>
      </c>
      <c r="BG15" s="74" t="n">
        <v>0</v>
      </c>
      <c r="BH15" s="74" t="n">
        <v>0</v>
      </c>
      <c r="BI15" s="74" t="n">
        <v>0</v>
      </c>
      <c r="BJ15" s="74" t="n">
        <v>0</v>
      </c>
      <c r="BK15" s="74" t="n">
        <v>0</v>
      </c>
      <c r="BL15" s="74" t="n">
        <v>0</v>
      </c>
      <c r="BM15" s="74" t="n">
        <v>0</v>
      </c>
      <c r="BN15" s="74" t="n">
        <v>0</v>
      </c>
      <c r="BO15" s="74" t="n">
        <v>0</v>
      </c>
      <c r="CA15" s="72" t="str">
        <f aca="false">A15</f>
        <v>I</v>
      </c>
      <c r="CB15" s="73" t="str">
        <f aca="false">B15</f>
        <v>                            - Payable (Acct. 1460)</v>
      </c>
      <c r="CC15" s="75" t="n">
        <f aca="false">C15-AC15-BC15</f>
        <v>-573870</v>
      </c>
      <c r="CD15" s="75" t="n">
        <f aca="false">D15-AD15-BD15</f>
        <v>-593130</v>
      </c>
      <c r="CE15" s="75" t="n">
        <f aca="false">E15-AE15-BE15</f>
        <v>-612073</v>
      </c>
      <c r="CF15" s="75" t="n">
        <f aca="false">F15-AF15-BF15</f>
        <v>-636921</v>
      </c>
      <c r="CG15" s="75" t="n">
        <f aca="false">G15-AG15-BG15</f>
        <v>-637328</v>
      </c>
      <c r="CH15" s="75" t="n">
        <f aca="false">H15-AH15-BH15</f>
        <v>-643167</v>
      </c>
      <c r="CI15" s="75" t="n">
        <f aca="false">I15-AI15-BI15</f>
        <v>-656330</v>
      </c>
      <c r="CJ15" s="75" t="n">
        <f aca="false">J15-AJ15-BJ15</f>
        <v>-664746</v>
      </c>
      <c r="CK15" s="75" t="n">
        <f aca="false">K15-AK15-BK15</f>
        <v>-670646</v>
      </c>
      <c r="CL15" s="75" t="n">
        <f aca="false">L15-AL15-BL15</f>
        <v>-677446</v>
      </c>
      <c r="CM15" s="75" t="n">
        <f aca="false">M15-AM15-BM15</f>
        <v>-697446</v>
      </c>
      <c r="CN15" s="75" t="n">
        <f aca="false">N15-AN15-BN15</f>
        <v>-717946</v>
      </c>
      <c r="CO15" s="75" t="n">
        <f aca="false">O15-AO15-BO15</f>
        <v>-736746</v>
      </c>
      <c r="CP15" s="52"/>
    </row>
    <row r="16" customFormat="false" ht="12" hidden="false" customHeight="true" outlineLevel="0" collapsed="false">
      <c r="A16" s="72"/>
      <c r="B16" s="73" t="s">
        <v>305</v>
      </c>
      <c r="C16" s="71" t="n">
        <f aca="false">BACKUP!C41</f>
        <v>0</v>
      </c>
      <c r="D16" s="71" t="n">
        <f aca="false">BACKUP!D41</f>
        <v>0</v>
      </c>
      <c r="E16" s="71" t="n">
        <f aca="false">BACKUP!E41</f>
        <v>0</v>
      </c>
      <c r="F16" s="71" t="n">
        <f aca="false">BACKUP!F41</f>
        <v>0</v>
      </c>
      <c r="G16" s="71" t="n">
        <f aca="false">BACKUP!G41</f>
        <v>32</v>
      </c>
      <c r="H16" s="71" t="n">
        <f aca="false">BACKUP!H41</f>
        <v>32</v>
      </c>
      <c r="I16" s="71" t="n">
        <f aca="false">BACKUP!I41</f>
        <v>3102</v>
      </c>
      <c r="J16" s="71" t="n">
        <f aca="false">BACKUP!J41</f>
        <v>7082</v>
      </c>
      <c r="K16" s="71" t="n">
        <f aca="false">BACKUP!K41</f>
        <v>7082</v>
      </c>
      <c r="L16" s="71" t="n">
        <f aca="false">BACKUP!L41</f>
        <v>7082</v>
      </c>
      <c r="M16" s="71" t="n">
        <f aca="false">BACKUP!M41</f>
        <v>7082</v>
      </c>
      <c r="N16" s="71" t="n">
        <f aca="false">BACKUP!N41</f>
        <v>7082</v>
      </c>
      <c r="O16" s="71" t="n">
        <f aca="false">BACKUP!O41</f>
        <v>7082</v>
      </c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72"/>
      <c r="AB16" s="73" t="str">
        <f aca="false">B16</f>
        <v>   Asset Price Risk Management</v>
      </c>
      <c r="AC16" s="74" t="n">
        <v>0</v>
      </c>
      <c r="AD16" s="74" t="n">
        <v>0</v>
      </c>
      <c r="AE16" s="74" t="n">
        <v>0</v>
      </c>
      <c r="AF16" s="74" t="n">
        <v>0</v>
      </c>
      <c r="AG16" s="74" t="n">
        <v>0</v>
      </c>
      <c r="AH16" s="74" t="n">
        <v>0</v>
      </c>
      <c r="AI16" s="74" t="n">
        <v>0</v>
      </c>
      <c r="AJ16" s="74" t="n">
        <v>0</v>
      </c>
      <c r="AK16" s="74" t="n">
        <v>0</v>
      </c>
      <c r="AL16" s="74" t="n">
        <v>0</v>
      </c>
      <c r="AM16" s="74" t="n">
        <v>0</v>
      </c>
      <c r="AN16" s="74" t="n">
        <v>0</v>
      </c>
      <c r="AO16" s="74" t="n">
        <v>0</v>
      </c>
      <c r="AP16" s="52"/>
      <c r="AQ16" s="71"/>
      <c r="AR16" s="52"/>
      <c r="BA16" s="72"/>
      <c r="BB16" s="73" t="str">
        <f aca="false">B16</f>
        <v>   Asset Price Risk Management</v>
      </c>
      <c r="BC16" s="74" t="n">
        <v>0</v>
      </c>
      <c r="BD16" s="74" t="n">
        <v>0</v>
      </c>
      <c r="BE16" s="74" t="n">
        <v>0</v>
      </c>
      <c r="BF16" s="74" t="n">
        <v>0</v>
      </c>
      <c r="BG16" s="74" t="n">
        <v>0</v>
      </c>
      <c r="BH16" s="74" t="n">
        <v>0</v>
      </c>
      <c r="BI16" s="74" t="n">
        <v>0</v>
      </c>
      <c r="BJ16" s="74" t="n">
        <v>0</v>
      </c>
      <c r="BK16" s="74" t="n">
        <v>0</v>
      </c>
      <c r="BL16" s="74" t="n">
        <v>0</v>
      </c>
      <c r="BM16" s="74" t="n">
        <v>0</v>
      </c>
      <c r="BN16" s="74" t="n">
        <v>0</v>
      </c>
      <c r="BO16" s="74" t="n">
        <v>0</v>
      </c>
      <c r="CA16" s="72"/>
      <c r="CB16" s="73" t="str">
        <f aca="false">B16</f>
        <v>   Asset Price Risk Management</v>
      </c>
      <c r="CC16" s="75" t="n">
        <f aca="false">C16-AC16-BC16</f>
        <v>0</v>
      </c>
      <c r="CD16" s="75" t="n">
        <f aca="false">D16-AD16-BD16</f>
        <v>0</v>
      </c>
      <c r="CE16" s="75" t="n">
        <f aca="false">E16-AE16-BE16</f>
        <v>0</v>
      </c>
      <c r="CF16" s="75" t="n">
        <f aca="false">F16-AF16-BF16</f>
        <v>0</v>
      </c>
      <c r="CG16" s="75" t="n">
        <f aca="false">G16-AG16-BG16</f>
        <v>32</v>
      </c>
      <c r="CH16" s="75" t="n">
        <f aca="false">H16-AH16-BH16</f>
        <v>32</v>
      </c>
      <c r="CI16" s="75" t="n">
        <f aca="false">I16-AI16-BI16</f>
        <v>3102</v>
      </c>
      <c r="CJ16" s="75" t="n">
        <f aca="false">J16-AJ16-BJ16</f>
        <v>7082</v>
      </c>
      <c r="CK16" s="75" t="n">
        <f aca="false">K16-AK16-BK16</f>
        <v>7082</v>
      </c>
      <c r="CL16" s="75" t="n">
        <f aca="false">L16-AL16-BL16</f>
        <v>7082</v>
      </c>
      <c r="CM16" s="75" t="n">
        <f aca="false">M16-AM16-BM16</f>
        <v>7082</v>
      </c>
      <c r="CN16" s="75" t="n">
        <f aca="false">N16-AN16-BN16</f>
        <v>7082</v>
      </c>
      <c r="CO16" s="75" t="n">
        <f aca="false">O16-AO16-BO16</f>
        <v>7082</v>
      </c>
      <c r="CP16" s="52"/>
    </row>
    <row r="17" customFormat="false" ht="12" hidden="false" customHeight="true" outlineLevel="0" collapsed="false">
      <c r="A17" s="72" t="s">
        <v>306</v>
      </c>
      <c r="B17" s="73" t="s">
        <v>307</v>
      </c>
      <c r="C17" s="71" t="n">
        <f aca="false">BACKUP!C49</f>
        <v>0</v>
      </c>
      <c r="D17" s="71" t="n">
        <f aca="false">BACKUP!D49</f>
        <v>0</v>
      </c>
      <c r="E17" s="71" t="n">
        <f aca="false">BACKUP!E49</f>
        <v>0</v>
      </c>
      <c r="F17" s="71" t="n">
        <f aca="false">BACKUP!F49</f>
        <v>0</v>
      </c>
      <c r="G17" s="71" t="n">
        <f aca="false">BACKUP!G49</f>
        <v>0</v>
      </c>
      <c r="H17" s="71" t="n">
        <f aca="false">BACKUP!H49</f>
        <v>0</v>
      </c>
      <c r="I17" s="71" t="n">
        <f aca="false">BACKUP!I49</f>
        <v>0</v>
      </c>
      <c r="J17" s="71" t="n">
        <f aca="false">BACKUP!J49</f>
        <v>0</v>
      </c>
      <c r="K17" s="71" t="n">
        <f aca="false">BACKUP!K49</f>
        <v>0</v>
      </c>
      <c r="L17" s="71" t="n">
        <f aca="false">BACKUP!L49</f>
        <v>0</v>
      </c>
      <c r="M17" s="71" t="n">
        <f aca="false">BACKUP!M49</f>
        <v>0</v>
      </c>
      <c r="N17" s="71" t="n">
        <f aca="false">BACKUP!N49</f>
        <v>0</v>
      </c>
      <c r="O17" s="71" t="n">
        <f aca="false">BACKUP!O49</f>
        <v>0</v>
      </c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72" t="str">
        <f aca="false">A17</f>
        <v>3</v>
      </c>
      <c r="AB17" s="73" t="str">
        <f aca="false">B17</f>
        <v>   Inventories</v>
      </c>
      <c r="AC17" s="74" t="n">
        <v>0</v>
      </c>
      <c r="AD17" s="74" t="n">
        <v>0</v>
      </c>
      <c r="AE17" s="74" t="n">
        <v>0</v>
      </c>
      <c r="AF17" s="74" t="n">
        <v>0</v>
      </c>
      <c r="AG17" s="74" t="n">
        <v>0</v>
      </c>
      <c r="AH17" s="74" t="n">
        <v>0</v>
      </c>
      <c r="AI17" s="74" t="n">
        <v>0</v>
      </c>
      <c r="AJ17" s="74" t="n">
        <v>0</v>
      </c>
      <c r="AK17" s="74" t="n">
        <v>0</v>
      </c>
      <c r="AL17" s="74" t="n">
        <v>0</v>
      </c>
      <c r="AM17" s="74" t="n">
        <v>0</v>
      </c>
      <c r="AN17" s="74" t="n">
        <v>0</v>
      </c>
      <c r="AO17" s="74" t="n">
        <v>0</v>
      </c>
      <c r="AP17" s="52"/>
      <c r="AQ17" s="71"/>
      <c r="AR17" s="52"/>
      <c r="BA17" s="72" t="str">
        <f aca="false">AA17</f>
        <v>3</v>
      </c>
      <c r="BB17" s="73" t="str">
        <f aca="false">B17</f>
        <v>   Inventories</v>
      </c>
      <c r="BC17" s="74" t="n">
        <v>0</v>
      </c>
      <c r="BD17" s="74" t="n">
        <v>0</v>
      </c>
      <c r="BE17" s="74" t="n">
        <v>0</v>
      </c>
      <c r="BF17" s="74" t="n">
        <v>0</v>
      </c>
      <c r="BG17" s="74" t="n">
        <v>0</v>
      </c>
      <c r="BH17" s="74" t="n">
        <v>0</v>
      </c>
      <c r="BI17" s="74" t="n">
        <v>0</v>
      </c>
      <c r="BJ17" s="74" t="n">
        <v>0</v>
      </c>
      <c r="BK17" s="74" t="n">
        <v>0</v>
      </c>
      <c r="BL17" s="74" t="n">
        <v>0</v>
      </c>
      <c r="BM17" s="74" t="n">
        <v>0</v>
      </c>
      <c r="BN17" s="74" t="n">
        <v>0</v>
      </c>
      <c r="BO17" s="74" t="n">
        <v>0</v>
      </c>
      <c r="CA17" s="72" t="str">
        <f aca="false">A17</f>
        <v>3</v>
      </c>
      <c r="CB17" s="73" t="str">
        <f aca="false">B17</f>
        <v>   Inventories</v>
      </c>
      <c r="CC17" s="75" t="n">
        <f aca="false">C17-AC17-BC17</f>
        <v>0</v>
      </c>
      <c r="CD17" s="75" t="n">
        <f aca="false">D17-AD17-BD17</f>
        <v>0</v>
      </c>
      <c r="CE17" s="75" t="n">
        <f aca="false">E17-AE17-BE17</f>
        <v>0</v>
      </c>
      <c r="CF17" s="75" t="n">
        <f aca="false">F17-AF17-BF17</f>
        <v>0</v>
      </c>
      <c r="CG17" s="75" t="n">
        <f aca="false">G17-AG17-BG17</f>
        <v>0</v>
      </c>
      <c r="CH17" s="75" t="n">
        <f aca="false">H17-AH17-BH17</f>
        <v>0</v>
      </c>
      <c r="CI17" s="75" t="n">
        <f aca="false">I17-AI17-BI17</f>
        <v>0</v>
      </c>
      <c r="CJ17" s="75" t="n">
        <f aca="false">J17-AJ17-BJ17</f>
        <v>0</v>
      </c>
      <c r="CK17" s="75" t="n">
        <f aca="false">K17-AK17-BK17</f>
        <v>0</v>
      </c>
      <c r="CL17" s="75" t="n">
        <f aca="false">L17-AL17-BL17</f>
        <v>0</v>
      </c>
      <c r="CM17" s="75" t="n">
        <f aca="false">M17-AM17-BM17</f>
        <v>0</v>
      </c>
      <c r="CN17" s="75" t="n">
        <f aca="false">N17-AN17-BN17</f>
        <v>0</v>
      </c>
      <c r="CO17" s="75" t="n">
        <f aca="false">O17-AO17-BO17</f>
        <v>0</v>
      </c>
      <c r="CP17" s="52"/>
    </row>
    <row r="18" customFormat="false" ht="12" hidden="false" customHeight="true" outlineLevel="0" collapsed="false">
      <c r="A18" s="72" t="s">
        <v>306</v>
      </c>
      <c r="B18" s="73" t="s">
        <v>308</v>
      </c>
      <c r="C18" s="71" t="n">
        <f aca="false">BACKUP!C56</f>
        <v>5865</v>
      </c>
      <c r="D18" s="71" t="n">
        <f aca="false">BACKUP!D56</f>
        <v>5860</v>
      </c>
      <c r="E18" s="71" t="n">
        <f aca="false">BACKUP!E56</f>
        <v>5857</v>
      </c>
      <c r="F18" s="71" t="n">
        <f aca="false">BACKUP!F56</f>
        <v>4596</v>
      </c>
      <c r="G18" s="71" t="n">
        <f aca="false">BACKUP!G56</f>
        <v>4586</v>
      </c>
      <c r="H18" s="71" t="n">
        <f aca="false">BACKUP!H56</f>
        <v>4389</v>
      </c>
      <c r="I18" s="71" t="n">
        <f aca="false">BACKUP!I56</f>
        <v>4372</v>
      </c>
      <c r="J18" s="71" t="n">
        <f aca="false">BACKUP!J56</f>
        <v>4373</v>
      </c>
      <c r="K18" s="71" t="n">
        <f aca="false">BACKUP!K56</f>
        <v>4373</v>
      </c>
      <c r="L18" s="71" t="n">
        <f aca="false">BACKUP!L56</f>
        <v>4373</v>
      </c>
      <c r="M18" s="71" t="n">
        <f aca="false">BACKUP!M56</f>
        <v>4373</v>
      </c>
      <c r="N18" s="71" t="n">
        <f aca="false">BACKUP!N56</f>
        <v>4373</v>
      </c>
      <c r="O18" s="71" t="n">
        <f aca="false">BACKUP!O56</f>
        <v>4373</v>
      </c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72" t="str">
        <f aca="false">A18</f>
        <v>3</v>
      </c>
      <c r="AB18" s="73" t="str">
        <f aca="false">B18</f>
        <v>   Materials and Supplies</v>
      </c>
      <c r="AC18" s="74" t="n">
        <v>0</v>
      </c>
      <c r="AD18" s="74" t="n">
        <v>0</v>
      </c>
      <c r="AE18" s="74" t="n">
        <v>0</v>
      </c>
      <c r="AF18" s="74" t="n">
        <v>0</v>
      </c>
      <c r="AG18" s="74" t="n">
        <v>0</v>
      </c>
      <c r="AH18" s="74" t="n">
        <v>0</v>
      </c>
      <c r="AI18" s="74" t="n">
        <v>0</v>
      </c>
      <c r="AJ18" s="74" t="n">
        <v>0</v>
      </c>
      <c r="AK18" s="74" t="n">
        <v>0</v>
      </c>
      <c r="AL18" s="74" t="n">
        <v>0</v>
      </c>
      <c r="AM18" s="74" t="n">
        <v>0</v>
      </c>
      <c r="AN18" s="74" t="n">
        <v>0</v>
      </c>
      <c r="AO18" s="74" t="n">
        <v>0</v>
      </c>
      <c r="AP18" s="52"/>
      <c r="AQ18" s="71"/>
      <c r="AR18" s="52"/>
      <c r="BA18" s="72" t="str">
        <f aca="false">AA18</f>
        <v>3</v>
      </c>
      <c r="BB18" s="73" t="str">
        <f aca="false">B18</f>
        <v>   Materials and Supplies</v>
      </c>
      <c r="BC18" s="74" t="n">
        <v>0</v>
      </c>
      <c r="BD18" s="74" t="n">
        <v>0</v>
      </c>
      <c r="BE18" s="74" t="n">
        <v>0</v>
      </c>
      <c r="BF18" s="74" t="n">
        <v>0</v>
      </c>
      <c r="BG18" s="74" t="n">
        <v>0</v>
      </c>
      <c r="BH18" s="74" t="n">
        <v>0</v>
      </c>
      <c r="BI18" s="74" t="n">
        <v>0</v>
      </c>
      <c r="BJ18" s="74" t="n">
        <v>0</v>
      </c>
      <c r="BK18" s="74" t="n">
        <v>0</v>
      </c>
      <c r="BL18" s="74" t="n">
        <v>0</v>
      </c>
      <c r="BM18" s="74" t="n">
        <v>0</v>
      </c>
      <c r="BN18" s="74" t="n">
        <v>0</v>
      </c>
      <c r="BO18" s="74" t="n">
        <v>0</v>
      </c>
      <c r="CA18" s="72" t="str">
        <f aca="false">A18</f>
        <v>3</v>
      </c>
      <c r="CB18" s="73" t="str">
        <f aca="false">B18</f>
        <v>   Materials and Supplies</v>
      </c>
      <c r="CC18" s="75" t="n">
        <f aca="false">C18-AC18-BC18</f>
        <v>5865</v>
      </c>
      <c r="CD18" s="75" t="n">
        <f aca="false">D18-AD18-BD18</f>
        <v>5860</v>
      </c>
      <c r="CE18" s="75" t="n">
        <f aca="false">E18-AE18-BE18</f>
        <v>5857</v>
      </c>
      <c r="CF18" s="75" t="n">
        <f aca="false">F18-AF18-BF18</f>
        <v>4596</v>
      </c>
      <c r="CG18" s="75" t="n">
        <f aca="false">G18-AG18-BG18</f>
        <v>4586</v>
      </c>
      <c r="CH18" s="75" t="n">
        <f aca="false">H18-AH18-BH18</f>
        <v>4389</v>
      </c>
      <c r="CI18" s="75" t="n">
        <f aca="false">I18-AI18-BI18</f>
        <v>4372</v>
      </c>
      <c r="CJ18" s="75" t="n">
        <f aca="false">J18-AJ18-BJ18</f>
        <v>4373</v>
      </c>
      <c r="CK18" s="75" t="n">
        <f aca="false">K18-AK18-BK18</f>
        <v>4373</v>
      </c>
      <c r="CL18" s="75" t="n">
        <f aca="false">L18-AL18-BL18</f>
        <v>4373</v>
      </c>
      <c r="CM18" s="75" t="n">
        <f aca="false">M18-AM18-BM18</f>
        <v>4373</v>
      </c>
      <c r="CN18" s="75" t="n">
        <f aca="false">N18-AN18-BN18</f>
        <v>4373</v>
      </c>
      <c r="CO18" s="75" t="n">
        <f aca="false">O18-AO18-BO18</f>
        <v>4373</v>
      </c>
      <c r="CP18" s="52"/>
    </row>
    <row r="19" customFormat="false" ht="12" hidden="false" customHeight="true" outlineLevel="0" collapsed="false">
      <c r="A19" s="72" t="s">
        <v>309</v>
      </c>
      <c r="B19" s="73" t="s">
        <v>310</v>
      </c>
      <c r="C19" s="71" t="n">
        <f aca="false">BACKUP!C63</f>
        <v>80047</v>
      </c>
      <c r="D19" s="71" t="n">
        <f aca="false">BACKUP!D63</f>
        <v>82120</v>
      </c>
      <c r="E19" s="71" t="n">
        <f aca="false">BACKUP!E63</f>
        <v>71100</v>
      </c>
      <c r="F19" s="71" t="n">
        <f aca="false">BACKUP!F63</f>
        <v>61495</v>
      </c>
      <c r="G19" s="71" t="n">
        <f aca="false">BACKUP!G63</f>
        <v>57748</v>
      </c>
      <c r="H19" s="71" t="n">
        <f aca="false">BACKUP!H63</f>
        <v>52160</v>
      </c>
      <c r="I19" s="71" t="n">
        <f aca="false">BACKUP!I63</f>
        <v>57225</v>
      </c>
      <c r="J19" s="71" t="n">
        <f aca="false">BACKUP!J63</f>
        <v>41497</v>
      </c>
      <c r="K19" s="71" t="n">
        <f aca="false">BACKUP!K63</f>
        <v>41497</v>
      </c>
      <c r="L19" s="71" t="n">
        <f aca="false">BACKUP!L63</f>
        <v>41497</v>
      </c>
      <c r="M19" s="71" t="n">
        <f aca="false">BACKUP!M63</f>
        <v>41497</v>
      </c>
      <c r="N19" s="71" t="n">
        <f aca="false">BACKUP!N63</f>
        <v>41497</v>
      </c>
      <c r="O19" s="71" t="n">
        <f aca="false">BACKUP!O63</f>
        <v>41497</v>
      </c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72" t="str">
        <f aca="false">A19</f>
        <v>4</v>
      </c>
      <c r="AB19" s="73" t="str">
        <f aca="false">B19</f>
        <v>   Exchange Gas Receivable</v>
      </c>
      <c r="AC19" s="74" t="n">
        <v>0</v>
      </c>
      <c r="AD19" s="74" t="n">
        <v>0</v>
      </c>
      <c r="AE19" s="74" t="n">
        <v>0</v>
      </c>
      <c r="AF19" s="74" t="n">
        <v>0</v>
      </c>
      <c r="AG19" s="74" t="n">
        <v>0</v>
      </c>
      <c r="AH19" s="74" t="n">
        <v>0</v>
      </c>
      <c r="AI19" s="74" t="n">
        <v>0</v>
      </c>
      <c r="AJ19" s="74" t="n">
        <v>0</v>
      </c>
      <c r="AK19" s="74" t="n">
        <v>0</v>
      </c>
      <c r="AL19" s="74" t="n">
        <v>0</v>
      </c>
      <c r="AM19" s="74" t="n">
        <v>0</v>
      </c>
      <c r="AN19" s="74" t="n">
        <v>0</v>
      </c>
      <c r="AO19" s="74" t="n">
        <v>0</v>
      </c>
      <c r="AP19" s="52"/>
      <c r="AQ19" s="71"/>
      <c r="AR19" s="52"/>
      <c r="BA19" s="72" t="str">
        <f aca="false">AA19</f>
        <v>4</v>
      </c>
      <c r="BB19" s="73" t="str">
        <f aca="false">B19</f>
        <v>   Exchange Gas Receivable</v>
      </c>
      <c r="BC19" s="74" t="n">
        <v>0</v>
      </c>
      <c r="BD19" s="74" t="n">
        <v>0</v>
      </c>
      <c r="BE19" s="74" t="n">
        <v>0</v>
      </c>
      <c r="BF19" s="74" t="n">
        <v>0</v>
      </c>
      <c r="BG19" s="74" t="n">
        <v>0</v>
      </c>
      <c r="BH19" s="74" t="n">
        <v>0</v>
      </c>
      <c r="BI19" s="74" t="n">
        <v>0</v>
      </c>
      <c r="BJ19" s="74" t="n">
        <v>0</v>
      </c>
      <c r="BK19" s="74" t="n">
        <v>0</v>
      </c>
      <c r="BL19" s="74" t="n">
        <v>0</v>
      </c>
      <c r="BM19" s="74" t="n">
        <v>0</v>
      </c>
      <c r="BN19" s="74" t="n">
        <v>0</v>
      </c>
      <c r="BO19" s="74" t="n">
        <v>0</v>
      </c>
      <c r="CA19" s="72" t="str">
        <f aca="false">A19</f>
        <v>4</v>
      </c>
      <c r="CB19" s="73" t="str">
        <f aca="false">B19</f>
        <v>   Exchange Gas Receivable</v>
      </c>
      <c r="CC19" s="75" t="n">
        <f aca="false">C19-AC19-BC19</f>
        <v>80047</v>
      </c>
      <c r="CD19" s="75" t="n">
        <f aca="false">D19-AD19-BD19</f>
        <v>82120</v>
      </c>
      <c r="CE19" s="75" t="n">
        <f aca="false">E19-AE19-BE19</f>
        <v>71100</v>
      </c>
      <c r="CF19" s="75" t="n">
        <f aca="false">F19-AF19-BF19</f>
        <v>61495</v>
      </c>
      <c r="CG19" s="75" t="n">
        <f aca="false">G19-AG19-BG19</f>
        <v>57748</v>
      </c>
      <c r="CH19" s="75" t="n">
        <f aca="false">H19-AH19-BH19</f>
        <v>52160</v>
      </c>
      <c r="CI19" s="75" t="n">
        <f aca="false">I19-AI19-BI19</f>
        <v>57225</v>
      </c>
      <c r="CJ19" s="75" t="n">
        <f aca="false">J19-AJ19-BJ19</f>
        <v>41497</v>
      </c>
      <c r="CK19" s="75" t="n">
        <f aca="false">K19-AK19-BK19</f>
        <v>41497</v>
      </c>
      <c r="CL19" s="75" t="n">
        <f aca="false">L19-AL19-BL19</f>
        <v>41497</v>
      </c>
      <c r="CM19" s="75" t="n">
        <f aca="false">M19-AM19-BM19</f>
        <v>41497</v>
      </c>
      <c r="CN19" s="75" t="n">
        <f aca="false">N19-AN19-BN19</f>
        <v>41497</v>
      </c>
      <c r="CO19" s="75" t="n">
        <f aca="false">O19-AO19-BO19</f>
        <v>41497</v>
      </c>
      <c r="CP19" s="52"/>
    </row>
    <row r="20" customFormat="false" ht="12" hidden="false" customHeight="true" outlineLevel="0" collapsed="false">
      <c r="A20" s="72" t="s">
        <v>309</v>
      </c>
      <c r="B20" s="73" t="s">
        <v>311</v>
      </c>
      <c r="C20" s="78" t="n">
        <v>0</v>
      </c>
      <c r="D20" s="78" t="n">
        <v>0</v>
      </c>
      <c r="E20" s="78" t="n">
        <v>0</v>
      </c>
      <c r="F20" s="78" t="n">
        <v>0</v>
      </c>
      <c r="G20" s="78" t="n">
        <v>0</v>
      </c>
      <c r="H20" s="78" t="n">
        <v>0</v>
      </c>
      <c r="I20" s="78" t="n">
        <v>0</v>
      </c>
      <c r="J20" s="78" t="n">
        <v>0</v>
      </c>
      <c r="K20" s="78" t="n">
        <v>0</v>
      </c>
      <c r="L20" s="78" t="n">
        <v>0</v>
      </c>
      <c r="M20" s="78" t="n">
        <v>0</v>
      </c>
      <c r="N20" s="78" t="n">
        <v>0</v>
      </c>
      <c r="O20" s="78" t="n">
        <v>0</v>
      </c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72" t="str">
        <f aca="false">A20</f>
        <v>4</v>
      </c>
      <c r="AB20" s="73" t="str">
        <f aca="false">B20</f>
        <v>   (Over) / Under Recovered Gas Cost</v>
      </c>
      <c r="AC20" s="74" t="n">
        <v>0</v>
      </c>
      <c r="AD20" s="74" t="n">
        <v>0</v>
      </c>
      <c r="AE20" s="74" t="n">
        <v>0</v>
      </c>
      <c r="AF20" s="74" t="n">
        <v>0</v>
      </c>
      <c r="AG20" s="74" t="n">
        <v>0</v>
      </c>
      <c r="AH20" s="74" t="n">
        <v>0</v>
      </c>
      <c r="AI20" s="74" t="n">
        <v>0</v>
      </c>
      <c r="AJ20" s="74" t="n">
        <v>0</v>
      </c>
      <c r="AK20" s="74" t="n">
        <v>0</v>
      </c>
      <c r="AL20" s="74" t="n">
        <v>0</v>
      </c>
      <c r="AM20" s="74" t="n">
        <v>0</v>
      </c>
      <c r="AN20" s="74" t="n">
        <v>0</v>
      </c>
      <c r="AO20" s="74" t="n">
        <v>0</v>
      </c>
      <c r="AP20" s="52"/>
      <c r="AQ20" s="71"/>
      <c r="AR20" s="52"/>
      <c r="BA20" s="72" t="str">
        <f aca="false">AA20</f>
        <v>4</v>
      </c>
      <c r="BB20" s="73" t="str">
        <f aca="false">B20</f>
        <v>   (Over) / Under Recovered Gas Cost</v>
      </c>
      <c r="BC20" s="74" t="n">
        <v>0</v>
      </c>
      <c r="BD20" s="74" t="n">
        <v>0</v>
      </c>
      <c r="BE20" s="74" t="n">
        <v>0</v>
      </c>
      <c r="BF20" s="74" t="n">
        <v>0</v>
      </c>
      <c r="BG20" s="74" t="n">
        <v>0</v>
      </c>
      <c r="BH20" s="74" t="n">
        <v>0</v>
      </c>
      <c r="BI20" s="74" t="n">
        <v>0</v>
      </c>
      <c r="BJ20" s="74" t="n">
        <v>0</v>
      </c>
      <c r="BK20" s="74" t="n">
        <v>0</v>
      </c>
      <c r="BL20" s="74" t="n">
        <v>0</v>
      </c>
      <c r="BM20" s="74" t="n">
        <v>0</v>
      </c>
      <c r="BN20" s="74" t="n">
        <v>0</v>
      </c>
      <c r="BO20" s="74" t="n">
        <v>0</v>
      </c>
      <c r="CA20" s="72" t="str">
        <f aca="false">A20</f>
        <v>4</v>
      </c>
      <c r="CB20" s="73" t="str">
        <f aca="false">B20</f>
        <v>   (Over) / Under Recovered Gas Cost</v>
      </c>
      <c r="CC20" s="75" t="n">
        <f aca="false">C20-AC20-BC20</f>
        <v>0</v>
      </c>
      <c r="CD20" s="75" t="n">
        <f aca="false">D20-AD20-BD20</f>
        <v>0</v>
      </c>
      <c r="CE20" s="75" t="n">
        <f aca="false">E20-AE20-BE20</f>
        <v>0</v>
      </c>
      <c r="CF20" s="75" t="n">
        <f aca="false">F20-AF20-BF20</f>
        <v>0</v>
      </c>
      <c r="CG20" s="75" t="n">
        <f aca="false">G20-AG20-BG20</f>
        <v>0</v>
      </c>
      <c r="CH20" s="75" t="n">
        <f aca="false">H20-AH20-BH20</f>
        <v>0</v>
      </c>
      <c r="CI20" s="75" t="n">
        <f aca="false">I20-AI20-BI20</f>
        <v>0</v>
      </c>
      <c r="CJ20" s="75" t="n">
        <f aca="false">J20-AJ20-BJ20</f>
        <v>0</v>
      </c>
      <c r="CK20" s="75" t="n">
        <f aca="false">K20-AK20-BK20</f>
        <v>0</v>
      </c>
      <c r="CL20" s="75" t="n">
        <f aca="false">L20-AL20-BL20</f>
        <v>0</v>
      </c>
      <c r="CM20" s="75" t="n">
        <f aca="false">M20-AM20-BM20</f>
        <v>0</v>
      </c>
      <c r="CN20" s="75" t="n">
        <f aca="false">N20-AN20-BN20</f>
        <v>0</v>
      </c>
      <c r="CO20" s="75" t="n">
        <f aca="false">O20-AO20-BO20</f>
        <v>0</v>
      </c>
      <c r="CP20" s="52"/>
    </row>
    <row r="21" customFormat="false" ht="12" hidden="false" customHeight="true" outlineLevel="0" collapsed="false">
      <c r="A21" s="72" t="s">
        <v>309</v>
      </c>
      <c r="B21" s="73" t="s">
        <v>312</v>
      </c>
      <c r="C21" s="71" t="n">
        <f aca="false">BACKUP!C72</f>
        <v>0</v>
      </c>
      <c r="D21" s="71" t="n">
        <f aca="false">BACKUP!D72</f>
        <v>0</v>
      </c>
      <c r="E21" s="71" t="n">
        <f aca="false">BACKUP!E72</f>
        <v>0</v>
      </c>
      <c r="F21" s="71" t="n">
        <f aca="false">BACKUP!F72</f>
        <v>0</v>
      </c>
      <c r="G21" s="71" t="n">
        <f aca="false">BACKUP!G72</f>
        <v>0</v>
      </c>
      <c r="H21" s="71" t="n">
        <f aca="false">BACKUP!H72</f>
        <v>0</v>
      </c>
      <c r="I21" s="71" t="n">
        <f aca="false">BACKUP!I72</f>
        <v>162</v>
      </c>
      <c r="J21" s="71" t="n">
        <f aca="false">BACKUP!J72</f>
        <v>162</v>
      </c>
      <c r="K21" s="71" t="n">
        <f aca="false">BACKUP!K72</f>
        <v>162</v>
      </c>
      <c r="L21" s="71" t="n">
        <f aca="false">BACKUP!L72</f>
        <v>162</v>
      </c>
      <c r="M21" s="71" t="n">
        <f aca="false">BACKUP!M72</f>
        <v>162</v>
      </c>
      <c r="N21" s="71" t="n">
        <f aca="false">BACKUP!N72</f>
        <v>162</v>
      </c>
      <c r="O21" s="71" t="n">
        <f aca="false">BACKUP!O72</f>
        <v>1242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2" t="str">
        <f aca="false">A21</f>
        <v>4</v>
      </c>
      <c r="AB21" s="73" t="str">
        <f aca="false">B21</f>
        <v>   Prepayments</v>
      </c>
      <c r="AC21" s="74" t="n">
        <v>0</v>
      </c>
      <c r="AD21" s="74" t="n">
        <v>0</v>
      </c>
      <c r="AE21" s="74" t="n">
        <v>0</v>
      </c>
      <c r="AF21" s="74" t="n">
        <v>0</v>
      </c>
      <c r="AG21" s="74" t="n">
        <v>0</v>
      </c>
      <c r="AH21" s="74" t="n">
        <v>0</v>
      </c>
      <c r="AI21" s="74" t="n">
        <v>0</v>
      </c>
      <c r="AJ21" s="74" t="n">
        <v>0</v>
      </c>
      <c r="AK21" s="74" t="n">
        <v>0</v>
      </c>
      <c r="AL21" s="74" t="n">
        <v>0</v>
      </c>
      <c r="AM21" s="74" t="n">
        <v>0</v>
      </c>
      <c r="AN21" s="74" t="n">
        <v>0</v>
      </c>
      <c r="AO21" s="74" t="n">
        <v>0</v>
      </c>
      <c r="AP21" s="52"/>
      <c r="AQ21" s="71"/>
      <c r="AR21" s="52"/>
      <c r="BA21" s="72" t="str">
        <f aca="false">AA21</f>
        <v>4</v>
      </c>
      <c r="BB21" s="73" t="str">
        <f aca="false">B21</f>
        <v>   Prepayments</v>
      </c>
      <c r="BC21" s="74" t="n">
        <v>0</v>
      </c>
      <c r="BD21" s="74" t="n">
        <v>0</v>
      </c>
      <c r="BE21" s="74" t="n">
        <v>0</v>
      </c>
      <c r="BF21" s="74" t="n">
        <v>0</v>
      </c>
      <c r="BG21" s="74" t="n">
        <v>0</v>
      </c>
      <c r="BH21" s="74" t="n">
        <v>0</v>
      </c>
      <c r="BI21" s="74" t="n">
        <v>0</v>
      </c>
      <c r="BJ21" s="74" t="n">
        <v>0</v>
      </c>
      <c r="BK21" s="74" t="n">
        <v>0</v>
      </c>
      <c r="BL21" s="74" t="n">
        <v>0</v>
      </c>
      <c r="BM21" s="74" t="n">
        <v>0</v>
      </c>
      <c r="BN21" s="74" t="n">
        <v>0</v>
      </c>
      <c r="BO21" s="74" t="n">
        <v>0</v>
      </c>
      <c r="CA21" s="72" t="str">
        <f aca="false">A21</f>
        <v>4</v>
      </c>
      <c r="CB21" s="73" t="str">
        <f aca="false">B21</f>
        <v>   Prepayments</v>
      </c>
      <c r="CC21" s="75" t="n">
        <f aca="false">C21-AC21-BC21</f>
        <v>0</v>
      </c>
      <c r="CD21" s="75" t="n">
        <f aca="false">D21-AD21-BD21</f>
        <v>0</v>
      </c>
      <c r="CE21" s="75" t="n">
        <f aca="false">E21-AE21-BE21</f>
        <v>0</v>
      </c>
      <c r="CF21" s="75" t="n">
        <f aca="false">F21-AF21-BF21</f>
        <v>0</v>
      </c>
      <c r="CG21" s="75" t="n">
        <f aca="false">G21-AG21-BG21</f>
        <v>0</v>
      </c>
      <c r="CH21" s="75" t="n">
        <f aca="false">H21-AH21-BH21</f>
        <v>0</v>
      </c>
      <c r="CI21" s="75" t="n">
        <f aca="false">I21-AI21-BI21</f>
        <v>162</v>
      </c>
      <c r="CJ21" s="75" t="n">
        <f aca="false">J21-AJ21-BJ21</f>
        <v>162</v>
      </c>
      <c r="CK21" s="75" t="n">
        <f aca="false">K21-AK21-BK21</f>
        <v>162</v>
      </c>
      <c r="CL21" s="75" t="n">
        <f aca="false">L21-AL21-BL21</f>
        <v>162</v>
      </c>
      <c r="CM21" s="75" t="n">
        <f aca="false">M21-AM21-BM21</f>
        <v>162</v>
      </c>
      <c r="CN21" s="75" t="n">
        <f aca="false">N21-AN21-BN21</f>
        <v>162</v>
      </c>
      <c r="CO21" s="75" t="n">
        <f aca="false">O21-AO21-BO21</f>
        <v>1242</v>
      </c>
      <c r="CP21" s="52"/>
    </row>
    <row r="22" customFormat="false" ht="12" hidden="false" customHeight="true" outlineLevel="0" collapsed="false">
      <c r="A22" s="72"/>
      <c r="B22" s="73" t="s">
        <v>313</v>
      </c>
      <c r="C22" s="71" t="n">
        <f aca="false">BACKUP!C97</f>
        <v>8713</v>
      </c>
      <c r="D22" s="71" t="n">
        <f aca="false">BACKUP!D97</f>
        <v>9693</v>
      </c>
      <c r="E22" s="71" t="n">
        <f aca="false">BACKUP!E97</f>
        <v>10458</v>
      </c>
      <c r="F22" s="71" t="n">
        <f aca="false">BACKUP!F97</f>
        <v>8886</v>
      </c>
      <c r="G22" s="71" t="n">
        <f aca="false">BACKUP!G97</f>
        <v>9318</v>
      </c>
      <c r="H22" s="71" t="n">
        <f aca="false">BACKUP!H97</f>
        <v>8355</v>
      </c>
      <c r="I22" s="71" t="n">
        <f aca="false">BACKUP!I97</f>
        <v>8132</v>
      </c>
      <c r="J22" s="71" t="n">
        <f aca="false">BACKUP!J97</f>
        <v>8534</v>
      </c>
      <c r="K22" s="71" t="n">
        <f aca="false">BACKUP!K97</f>
        <v>7977</v>
      </c>
      <c r="L22" s="71" t="n">
        <f aca="false">BACKUP!L97</f>
        <v>10360</v>
      </c>
      <c r="M22" s="71" t="n">
        <f aca="false">BACKUP!M97</f>
        <v>10567</v>
      </c>
      <c r="N22" s="71" t="n">
        <f aca="false">BACKUP!N97</f>
        <v>10061</v>
      </c>
      <c r="O22" s="71" t="n">
        <f aca="false">BACKUP!O97</f>
        <v>10287</v>
      </c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2"/>
      <c r="AB22" s="73" t="str">
        <f aca="false">B22</f>
        <v>   Regulatory Assets</v>
      </c>
      <c r="AC22" s="74" t="n">
        <v>0</v>
      </c>
      <c r="AD22" s="74" t="n">
        <v>0</v>
      </c>
      <c r="AE22" s="74" t="n">
        <v>0</v>
      </c>
      <c r="AF22" s="74" t="n">
        <v>0</v>
      </c>
      <c r="AG22" s="74" t="n">
        <v>0</v>
      </c>
      <c r="AH22" s="74" t="n">
        <v>0</v>
      </c>
      <c r="AI22" s="74" t="n">
        <v>0</v>
      </c>
      <c r="AJ22" s="74" t="n">
        <v>0</v>
      </c>
      <c r="AK22" s="74" t="n">
        <v>0</v>
      </c>
      <c r="AL22" s="74" t="n">
        <v>0</v>
      </c>
      <c r="AM22" s="74" t="n">
        <v>0</v>
      </c>
      <c r="AN22" s="74" t="n">
        <v>0</v>
      </c>
      <c r="AO22" s="74" t="n">
        <v>0</v>
      </c>
      <c r="AP22" s="52"/>
      <c r="AQ22" s="71"/>
      <c r="AR22" s="52"/>
      <c r="BA22" s="72"/>
      <c r="BB22" s="73" t="str">
        <f aca="false">B22</f>
        <v>   Regulatory Assets</v>
      </c>
      <c r="BC22" s="74" t="n">
        <v>0</v>
      </c>
      <c r="BD22" s="74" t="n">
        <v>0</v>
      </c>
      <c r="BE22" s="74" t="n">
        <v>0</v>
      </c>
      <c r="BF22" s="74" t="n">
        <v>0</v>
      </c>
      <c r="BG22" s="74" t="n">
        <v>0</v>
      </c>
      <c r="BH22" s="74" t="n">
        <v>0</v>
      </c>
      <c r="BI22" s="74" t="n">
        <v>0</v>
      </c>
      <c r="BJ22" s="74" t="n">
        <v>0</v>
      </c>
      <c r="BK22" s="74" t="n">
        <v>0</v>
      </c>
      <c r="BL22" s="74" t="n">
        <v>0</v>
      </c>
      <c r="BM22" s="74" t="n">
        <v>0</v>
      </c>
      <c r="BN22" s="74" t="n">
        <v>0</v>
      </c>
      <c r="BO22" s="74" t="n">
        <v>0</v>
      </c>
      <c r="CA22" s="72"/>
      <c r="CB22" s="73" t="str">
        <f aca="false">B22</f>
        <v>   Regulatory Assets</v>
      </c>
      <c r="CC22" s="75" t="n">
        <f aca="false">C22-AC22-BC22</f>
        <v>8713</v>
      </c>
      <c r="CD22" s="75" t="n">
        <f aca="false">D22-AD22-BD22</f>
        <v>9693</v>
      </c>
      <c r="CE22" s="75" t="n">
        <f aca="false">E22-AE22-BE22</f>
        <v>10458</v>
      </c>
      <c r="CF22" s="75" t="n">
        <f aca="false">F22-AF22-BF22</f>
        <v>8886</v>
      </c>
      <c r="CG22" s="75" t="n">
        <f aca="false">G22-AG22-BG22</f>
        <v>9318</v>
      </c>
      <c r="CH22" s="75" t="n">
        <f aca="false">H22-AH22-BH22</f>
        <v>8355</v>
      </c>
      <c r="CI22" s="75" t="n">
        <f aca="false">I22-AI22-BI22</f>
        <v>8132</v>
      </c>
      <c r="CJ22" s="75" t="n">
        <f aca="false">J22-AJ22-BJ22</f>
        <v>8534</v>
      </c>
      <c r="CK22" s="75" t="n">
        <f aca="false">K22-AK22-BK22</f>
        <v>7977</v>
      </c>
      <c r="CL22" s="75" t="n">
        <f aca="false">L22-AL22-BL22</f>
        <v>10360</v>
      </c>
      <c r="CM22" s="75" t="n">
        <f aca="false">M22-AM22-BM22</f>
        <v>10567</v>
      </c>
      <c r="CN22" s="75" t="n">
        <f aca="false">N22-AN22-BN22</f>
        <v>10061</v>
      </c>
      <c r="CO22" s="75" t="n">
        <f aca="false">O22-AO22-BO22</f>
        <v>10287</v>
      </c>
      <c r="CP22" s="52"/>
    </row>
    <row r="23" customFormat="false" ht="12" hidden="false" customHeight="true" outlineLevel="0" collapsed="false">
      <c r="A23" s="72" t="s">
        <v>314</v>
      </c>
      <c r="B23" s="73" t="s">
        <v>315</v>
      </c>
      <c r="C23" s="79" t="n">
        <f aca="false">BACKUP!C184</f>
        <v>0</v>
      </c>
      <c r="D23" s="79" t="n">
        <f aca="false">BACKUP!D184</f>
        <v>0</v>
      </c>
      <c r="E23" s="79" t="n">
        <f aca="false">BACKUP!E184</f>
        <v>0</v>
      </c>
      <c r="F23" s="79" t="n">
        <f aca="false">BACKUP!F184</f>
        <v>0</v>
      </c>
      <c r="G23" s="79" t="n">
        <f aca="false">BACKUP!G184</f>
        <v>0</v>
      </c>
      <c r="H23" s="79" t="n">
        <f aca="false">BACKUP!H184</f>
        <v>0</v>
      </c>
      <c r="I23" s="79" t="n">
        <f aca="false">BACKUP!I184</f>
        <v>0</v>
      </c>
      <c r="J23" s="79" t="n">
        <f aca="false">BACKUP!J184</f>
        <v>0</v>
      </c>
      <c r="K23" s="79" t="n">
        <f aca="false">BACKUP!K184</f>
        <v>0</v>
      </c>
      <c r="L23" s="79" t="n">
        <f aca="false">BACKUP!L184</f>
        <v>0</v>
      </c>
      <c r="M23" s="79" t="n">
        <f aca="false">BACKUP!M184</f>
        <v>0</v>
      </c>
      <c r="N23" s="79" t="n">
        <f aca="false">BACKUP!N184</f>
        <v>0</v>
      </c>
      <c r="O23" s="79" t="n">
        <f aca="false">BACKUP!O184</f>
        <v>0</v>
      </c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2" t="str">
        <f aca="false">A23</f>
        <v>8</v>
      </c>
      <c r="AB23" s="73" t="str">
        <f aca="false">B23</f>
        <v>   Deferred Contract Reformation Costs</v>
      </c>
      <c r="AC23" s="74" t="n">
        <v>0</v>
      </c>
      <c r="AD23" s="74" t="n">
        <v>0</v>
      </c>
      <c r="AE23" s="74" t="n">
        <v>0</v>
      </c>
      <c r="AF23" s="74" t="n">
        <v>0</v>
      </c>
      <c r="AG23" s="74" t="n">
        <v>0</v>
      </c>
      <c r="AH23" s="74" t="n">
        <v>0</v>
      </c>
      <c r="AI23" s="74" t="n">
        <v>0</v>
      </c>
      <c r="AJ23" s="74" t="n">
        <v>0</v>
      </c>
      <c r="AK23" s="74" t="n">
        <v>0</v>
      </c>
      <c r="AL23" s="74" t="n">
        <v>0</v>
      </c>
      <c r="AM23" s="74" t="n">
        <v>0</v>
      </c>
      <c r="AN23" s="74" t="n">
        <v>0</v>
      </c>
      <c r="AO23" s="74" t="n">
        <v>0</v>
      </c>
      <c r="AP23" s="52"/>
      <c r="AQ23" s="71"/>
      <c r="AR23" s="52"/>
      <c r="BA23" s="72" t="str">
        <f aca="false">AA23</f>
        <v>8</v>
      </c>
      <c r="BB23" s="73" t="str">
        <f aca="false">B23</f>
        <v>   Deferred Contract Reformation Costs</v>
      </c>
      <c r="BC23" s="74" t="n">
        <v>0</v>
      </c>
      <c r="BD23" s="74" t="n">
        <v>0</v>
      </c>
      <c r="BE23" s="74" t="n">
        <v>0</v>
      </c>
      <c r="BF23" s="74" t="n">
        <v>0</v>
      </c>
      <c r="BG23" s="74" t="n">
        <v>0</v>
      </c>
      <c r="BH23" s="74" t="n">
        <v>0</v>
      </c>
      <c r="BI23" s="74" t="n">
        <v>0</v>
      </c>
      <c r="BJ23" s="74" t="n">
        <v>0</v>
      </c>
      <c r="BK23" s="74" t="n">
        <v>0</v>
      </c>
      <c r="BL23" s="74" t="n">
        <v>0</v>
      </c>
      <c r="BM23" s="74" t="n">
        <v>0</v>
      </c>
      <c r="BN23" s="74" t="n">
        <v>0</v>
      </c>
      <c r="BO23" s="74" t="n">
        <v>0</v>
      </c>
      <c r="CA23" s="72" t="str">
        <f aca="false">A23</f>
        <v>8</v>
      </c>
      <c r="CB23" s="73" t="str">
        <f aca="false">B23</f>
        <v>   Deferred Contract Reformation Costs</v>
      </c>
      <c r="CC23" s="75" t="n">
        <f aca="false">C23-AC23-BC23</f>
        <v>0</v>
      </c>
      <c r="CD23" s="75" t="n">
        <f aca="false">D23-AD23-BD23</f>
        <v>0</v>
      </c>
      <c r="CE23" s="75" t="n">
        <f aca="false">E23-AE23-BE23</f>
        <v>0</v>
      </c>
      <c r="CF23" s="75" t="n">
        <f aca="false">F23-AF23-BF23</f>
        <v>0</v>
      </c>
      <c r="CG23" s="75" t="n">
        <f aca="false">G23-AG23-BG23</f>
        <v>0</v>
      </c>
      <c r="CH23" s="75" t="n">
        <f aca="false">H23-AH23-BH23</f>
        <v>0</v>
      </c>
      <c r="CI23" s="75" t="n">
        <f aca="false">I23-AI23-BI23</f>
        <v>0</v>
      </c>
      <c r="CJ23" s="75" t="n">
        <f aca="false">J23-AJ23-BJ23</f>
        <v>0</v>
      </c>
      <c r="CK23" s="75" t="n">
        <f aca="false">K23-AK23-BK23</f>
        <v>0</v>
      </c>
      <c r="CL23" s="75" t="n">
        <f aca="false">L23-AL23-BL23</f>
        <v>0</v>
      </c>
      <c r="CM23" s="75" t="n">
        <f aca="false">M23-AM23-BM23</f>
        <v>0</v>
      </c>
      <c r="CN23" s="75" t="n">
        <f aca="false">N23-AN23-BN23</f>
        <v>0</v>
      </c>
      <c r="CO23" s="75" t="n">
        <f aca="false">O23-AO23-BO23</f>
        <v>0</v>
      </c>
      <c r="CP23" s="52"/>
    </row>
    <row r="24" customFormat="false" ht="12" hidden="false" customHeight="true" outlineLevel="0" collapsed="false">
      <c r="A24" s="72" t="s">
        <v>309</v>
      </c>
      <c r="B24" s="73" t="s">
        <v>41</v>
      </c>
      <c r="C24" s="80" t="n">
        <f aca="false">BACKUP!C111</f>
        <v>1119</v>
      </c>
      <c r="D24" s="80" t="n">
        <f aca="false">BACKUP!D111</f>
        <v>637</v>
      </c>
      <c r="E24" s="80" t="n">
        <f aca="false">BACKUP!E111</f>
        <v>5272</v>
      </c>
      <c r="F24" s="80" t="n">
        <f aca="false">BACKUP!F111</f>
        <v>840</v>
      </c>
      <c r="G24" s="80" t="n">
        <f aca="false">BACKUP!G111</f>
        <v>839</v>
      </c>
      <c r="H24" s="80" t="n">
        <f aca="false">BACKUP!H111</f>
        <v>838</v>
      </c>
      <c r="I24" s="80" t="n">
        <f aca="false">BACKUP!I111</f>
        <v>839</v>
      </c>
      <c r="J24" s="80" t="n">
        <f aca="false">BACKUP!J111</f>
        <v>841</v>
      </c>
      <c r="K24" s="80" t="n">
        <f aca="false">BACKUP!K111</f>
        <v>841</v>
      </c>
      <c r="L24" s="80" t="n">
        <f aca="false">BACKUP!L111</f>
        <v>841</v>
      </c>
      <c r="M24" s="80" t="n">
        <f aca="false">BACKUP!M111</f>
        <v>841</v>
      </c>
      <c r="N24" s="80" t="n">
        <f aca="false">BACKUP!N111</f>
        <v>841</v>
      </c>
      <c r="O24" s="80" t="n">
        <f aca="false">BACKUP!O111</f>
        <v>841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2" t="str">
        <f aca="false">A24</f>
        <v>4</v>
      </c>
      <c r="AB24" s="73" t="str">
        <f aca="false">B24</f>
        <v>   Other</v>
      </c>
      <c r="AC24" s="81" t="n">
        <v>0</v>
      </c>
      <c r="AD24" s="81" t="n">
        <v>0</v>
      </c>
      <c r="AE24" s="81" t="n">
        <v>0</v>
      </c>
      <c r="AF24" s="81" t="n">
        <v>0</v>
      </c>
      <c r="AG24" s="81" t="n">
        <v>0</v>
      </c>
      <c r="AH24" s="81" t="n">
        <v>0</v>
      </c>
      <c r="AI24" s="81" t="n">
        <v>0</v>
      </c>
      <c r="AJ24" s="81" t="n">
        <v>0</v>
      </c>
      <c r="AK24" s="81" t="n">
        <v>0</v>
      </c>
      <c r="AL24" s="81" t="n">
        <v>0</v>
      </c>
      <c r="AM24" s="81" t="n">
        <v>0</v>
      </c>
      <c r="AN24" s="81" t="n">
        <v>0</v>
      </c>
      <c r="AO24" s="81" t="n">
        <v>0</v>
      </c>
      <c r="AP24" s="52"/>
      <c r="AQ24" s="71"/>
      <c r="AR24" s="52"/>
      <c r="BA24" s="72" t="str">
        <f aca="false">AA24</f>
        <v>4</v>
      </c>
      <c r="BB24" s="73" t="str">
        <f aca="false">B24</f>
        <v>   Other</v>
      </c>
      <c r="BC24" s="81" t="n">
        <v>0</v>
      </c>
      <c r="BD24" s="81" t="n">
        <v>0</v>
      </c>
      <c r="BE24" s="81" t="n">
        <v>0</v>
      </c>
      <c r="BF24" s="81" t="n">
        <v>0</v>
      </c>
      <c r="BG24" s="81" t="n">
        <v>0</v>
      </c>
      <c r="BH24" s="81" t="n">
        <v>0</v>
      </c>
      <c r="BI24" s="81" t="n">
        <v>0</v>
      </c>
      <c r="BJ24" s="81" t="n">
        <v>0</v>
      </c>
      <c r="BK24" s="81" t="n">
        <v>0</v>
      </c>
      <c r="BL24" s="81" t="n">
        <v>0</v>
      </c>
      <c r="BM24" s="81" t="n">
        <v>0</v>
      </c>
      <c r="BN24" s="81" t="n">
        <v>0</v>
      </c>
      <c r="BO24" s="81" t="n">
        <v>0</v>
      </c>
      <c r="CA24" s="72" t="str">
        <f aca="false">A24</f>
        <v>4</v>
      </c>
      <c r="CB24" s="73" t="str">
        <f aca="false">B24</f>
        <v>   Other</v>
      </c>
      <c r="CC24" s="82" t="n">
        <f aca="false">C24-AC24-BC24</f>
        <v>1119</v>
      </c>
      <c r="CD24" s="82" t="n">
        <f aca="false">D24-AD24-BD24</f>
        <v>637</v>
      </c>
      <c r="CE24" s="82" t="n">
        <f aca="false">E24-AE24-BE24</f>
        <v>5272</v>
      </c>
      <c r="CF24" s="82" t="n">
        <f aca="false">F24-AF24-BF24</f>
        <v>840</v>
      </c>
      <c r="CG24" s="82" t="n">
        <f aca="false">G24-AG24-BG24</f>
        <v>839</v>
      </c>
      <c r="CH24" s="82" t="n">
        <f aca="false">H24-AH24-BH24</f>
        <v>838</v>
      </c>
      <c r="CI24" s="82" t="n">
        <f aca="false">I24-AI24-BI24</f>
        <v>839</v>
      </c>
      <c r="CJ24" s="82" t="n">
        <f aca="false">J24-AJ24-BJ24</f>
        <v>841</v>
      </c>
      <c r="CK24" s="82" t="n">
        <f aca="false">K24-AK24-BK24</f>
        <v>841</v>
      </c>
      <c r="CL24" s="82" t="n">
        <f aca="false">L24-AL24-BL24</f>
        <v>841</v>
      </c>
      <c r="CM24" s="82" t="n">
        <f aca="false">M24-AM24-BM24</f>
        <v>841</v>
      </c>
      <c r="CN24" s="82" t="n">
        <f aca="false">N24-AN24-BN24</f>
        <v>841</v>
      </c>
      <c r="CO24" s="82" t="n">
        <f aca="false">O24-AO24-BO24</f>
        <v>841</v>
      </c>
      <c r="CP24" s="52"/>
    </row>
    <row r="25" customFormat="false" ht="3.95" hidden="false" customHeight="true" outlineLevel="0" collapsed="false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BA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</row>
    <row r="26" customFormat="false" ht="12.75" hidden="false" customHeight="false" outlineLevel="0" collapsed="false">
      <c r="A26" s="49"/>
      <c r="B26" s="70" t="s">
        <v>316</v>
      </c>
      <c r="C26" s="80" t="n">
        <f aca="false">SUM(C12:C25)</f>
        <v>459496</v>
      </c>
      <c r="D26" s="80" t="n">
        <f aca="false">SUM(D12:D25)</f>
        <v>497323</v>
      </c>
      <c r="E26" s="80" t="n">
        <f aca="false">SUM(E12:E25)</f>
        <v>459620</v>
      </c>
      <c r="F26" s="80" t="n">
        <f aca="false">SUM(F12:F25)</f>
        <v>466993</v>
      </c>
      <c r="G26" s="80" t="n">
        <f aca="false">SUM(G12:G25)</f>
        <v>494708</v>
      </c>
      <c r="H26" s="80" t="n">
        <f aca="false">SUM(H12:H25)</f>
        <v>490801</v>
      </c>
      <c r="I26" s="80" t="n">
        <f aca="false">SUM(I12:I25)</f>
        <v>502754</v>
      </c>
      <c r="J26" s="80" t="n">
        <f aca="false">SUM(J12:J25)</f>
        <v>495585</v>
      </c>
      <c r="K26" s="80" t="n">
        <f aca="false">SUM(K12:K25)</f>
        <v>507013</v>
      </c>
      <c r="L26" s="80" t="n">
        <f aca="false">SUM(L12:L25)</f>
        <v>502247</v>
      </c>
      <c r="M26" s="80" t="n">
        <f aca="false">SUM(M12:M25)</f>
        <v>485235</v>
      </c>
      <c r="N26" s="80" t="n">
        <f aca="false">SUM(N12:N25)</f>
        <v>491716</v>
      </c>
      <c r="O26" s="80" t="n">
        <f aca="false">SUM(O12:O25)</f>
        <v>479920</v>
      </c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49"/>
      <c r="AB26" s="70" t="str">
        <f aca="false">B26</f>
        <v>      Total Current Assets</v>
      </c>
      <c r="AC26" s="80" t="n">
        <f aca="false">SUM(AC12:AC25)</f>
        <v>26553</v>
      </c>
      <c r="AD26" s="80" t="n">
        <f aca="false">SUM(AD12:AD25)</f>
        <v>26284</v>
      </c>
      <c r="AE26" s="80" t="n">
        <f aca="false">SUM(AE12:AE25)</f>
        <v>26085</v>
      </c>
      <c r="AF26" s="80" t="n">
        <f aca="false">SUM(AF12:AF25)</f>
        <v>21652</v>
      </c>
      <c r="AG26" s="80" t="n">
        <f aca="false">SUM(AG12:AG25)</f>
        <v>21118</v>
      </c>
      <c r="AH26" s="80" t="n">
        <f aca="false">SUM(AH12:AH25)</f>
        <v>20921</v>
      </c>
      <c r="AI26" s="80" t="n">
        <f aca="false">SUM(AI12:AI25)</f>
        <v>24484</v>
      </c>
      <c r="AJ26" s="80" t="n">
        <f aca="false">SUM(AJ12:AJ25)</f>
        <v>24282</v>
      </c>
      <c r="AK26" s="80" t="n">
        <f aca="false">SUM(AK12:AK25)</f>
        <v>26102</v>
      </c>
      <c r="AL26" s="80" t="n">
        <f aca="false">SUM(AL12:AL25)</f>
        <v>26702</v>
      </c>
      <c r="AM26" s="80" t="n">
        <f aca="false">SUM(AM12:AM25)</f>
        <v>26458</v>
      </c>
      <c r="AN26" s="80" t="n">
        <f aca="false">SUM(AN12:AN25)</f>
        <v>26200</v>
      </c>
      <c r="AO26" s="80" t="n">
        <f aca="false">SUM(AO12:AO25)</f>
        <v>26999</v>
      </c>
      <c r="AP26" s="52"/>
      <c r="AQ26" s="71"/>
      <c r="AR26" s="52"/>
      <c r="BA26" s="49"/>
      <c r="BB26" s="70" t="str">
        <f aca="false">B26</f>
        <v>      Total Current Assets</v>
      </c>
      <c r="BC26" s="80" t="n">
        <f aca="false">SUM(BC12:BC25)</f>
        <v>80</v>
      </c>
      <c r="BD26" s="80" t="n">
        <f aca="false">SUM(BD12:BD25)</f>
        <v>80</v>
      </c>
      <c r="BE26" s="80" t="n">
        <f aca="false">SUM(BE12:BE25)</f>
        <v>80</v>
      </c>
      <c r="BF26" s="80" t="n">
        <f aca="false">SUM(BF12:BF25)</f>
        <v>80</v>
      </c>
      <c r="BG26" s="80" t="n">
        <f aca="false">SUM(BG12:BG25)</f>
        <v>80</v>
      </c>
      <c r="BH26" s="80" t="n">
        <f aca="false">SUM(BH12:BH25)</f>
        <v>80</v>
      </c>
      <c r="BI26" s="80" t="n">
        <f aca="false">SUM(BI12:BI25)</f>
        <v>80</v>
      </c>
      <c r="BJ26" s="80" t="n">
        <f aca="false">SUM(BJ12:BJ25)</f>
        <v>80</v>
      </c>
      <c r="BK26" s="80" t="n">
        <f aca="false">SUM(BK12:BK25)</f>
        <v>80</v>
      </c>
      <c r="BL26" s="80" t="n">
        <f aca="false">SUM(BL12:BL25)</f>
        <v>80</v>
      </c>
      <c r="BM26" s="80" t="n">
        <f aca="false">SUM(BM12:BM25)</f>
        <v>80</v>
      </c>
      <c r="BN26" s="80" t="n">
        <f aca="false">SUM(BN12:BN25)</f>
        <v>80</v>
      </c>
      <c r="BO26" s="80" t="n">
        <f aca="false">SUM(BO12:BO25)</f>
        <v>80</v>
      </c>
      <c r="CA26" s="49"/>
      <c r="CB26" s="70" t="str">
        <f aca="false">B26</f>
        <v>      Total Current Assets</v>
      </c>
      <c r="CC26" s="80" t="n">
        <f aca="false">SUM(CC12:CC25)</f>
        <v>432863</v>
      </c>
      <c r="CD26" s="80" t="n">
        <f aca="false">SUM(CD12:CD25)</f>
        <v>470959</v>
      </c>
      <c r="CE26" s="80" t="n">
        <f aca="false">SUM(CE12:CE25)</f>
        <v>433455</v>
      </c>
      <c r="CF26" s="80" t="n">
        <f aca="false">SUM(CF12:CF25)</f>
        <v>445261</v>
      </c>
      <c r="CG26" s="80" t="n">
        <f aca="false">SUM(CG12:CG25)</f>
        <v>473510</v>
      </c>
      <c r="CH26" s="80" t="n">
        <f aca="false">SUM(CH12:CH25)</f>
        <v>469800</v>
      </c>
      <c r="CI26" s="80" t="n">
        <f aca="false">SUM(CI12:CI25)</f>
        <v>478190</v>
      </c>
      <c r="CJ26" s="80" t="n">
        <f aca="false">SUM(CJ12:CJ25)</f>
        <v>471223</v>
      </c>
      <c r="CK26" s="80" t="n">
        <f aca="false">SUM(CK12:CK25)</f>
        <v>480831</v>
      </c>
      <c r="CL26" s="80" t="n">
        <f aca="false">SUM(CL12:CL25)</f>
        <v>475465</v>
      </c>
      <c r="CM26" s="80" t="n">
        <f aca="false">SUM(CM12:CM25)</f>
        <v>458697</v>
      </c>
      <c r="CN26" s="80" t="n">
        <f aca="false">SUM(CN12:CN25)</f>
        <v>465436</v>
      </c>
      <c r="CO26" s="80" t="n">
        <f aca="false">SUM(CO12:CO25)</f>
        <v>452841</v>
      </c>
      <c r="CP26" s="52"/>
    </row>
    <row r="27" customFormat="false" ht="12.75" hidden="false" customHeight="fals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BA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</row>
    <row r="28" customFormat="false" ht="12.75" hidden="false" customHeight="false" outlineLevel="0" collapsed="false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71"/>
      <c r="AR28" s="52"/>
      <c r="BA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</row>
    <row r="29" customFormat="false" ht="12.75" hidden="false" customHeight="false" outlineLevel="0" collapsed="false">
      <c r="A29" s="49"/>
      <c r="B29" s="70" t="s">
        <v>317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49"/>
      <c r="AB29" s="70" t="str">
        <f aca="false">B29</f>
        <v>INVESTMENTS AND OTHER ASSETS</v>
      </c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71"/>
      <c r="AR29" s="52"/>
      <c r="BA29" s="49"/>
      <c r="BB29" s="70" t="str">
        <f aca="false">B29</f>
        <v>INVESTMENTS AND OTHER ASSETS</v>
      </c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CA29" s="49"/>
      <c r="CB29" s="70" t="str">
        <f aca="false">B29</f>
        <v>INVESTMENTS AND OTHER ASSETS</v>
      </c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</row>
    <row r="30" customFormat="false" ht="12.75" hidden="false" customHeight="false" outlineLevel="0" collapsed="false">
      <c r="A30" s="72" t="s">
        <v>318</v>
      </c>
      <c r="B30" s="73" t="s">
        <v>319</v>
      </c>
      <c r="C30" s="71" t="n">
        <f aca="false">BACKUP!C123</f>
        <v>48163</v>
      </c>
      <c r="D30" s="71" t="n">
        <f aca="false">BACKUP!D123</f>
        <v>48660</v>
      </c>
      <c r="E30" s="71" t="n">
        <f aca="false">BACKUP!E123</f>
        <v>48961</v>
      </c>
      <c r="F30" s="71" t="n">
        <f aca="false">BACKUP!F123</f>
        <v>48445</v>
      </c>
      <c r="G30" s="71" t="n">
        <f aca="false">BACKUP!G123</f>
        <v>49702</v>
      </c>
      <c r="H30" s="71" t="n">
        <f aca="false">BACKUP!H123</f>
        <v>49991</v>
      </c>
      <c r="I30" s="71" t="n">
        <f aca="false">BACKUP!I123</f>
        <v>46599</v>
      </c>
      <c r="J30" s="71" t="n">
        <f aca="false">BACKUP!J123</f>
        <v>46906</v>
      </c>
      <c r="K30" s="71" t="n">
        <f aca="false">BACKUP!K123</f>
        <v>45148</v>
      </c>
      <c r="L30" s="71" t="n">
        <f aca="false">BACKUP!L123</f>
        <v>44644</v>
      </c>
      <c r="M30" s="71" t="n">
        <f aca="false">BACKUP!M123</f>
        <v>44941</v>
      </c>
      <c r="N30" s="71" t="n">
        <f aca="false">BACKUP!N123</f>
        <v>45255</v>
      </c>
      <c r="O30" s="71" t="n">
        <f aca="false">BACKUP!O123</f>
        <v>44443</v>
      </c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72" t="str">
        <f aca="false">A30</f>
        <v>5</v>
      </c>
      <c r="AB30" s="73" t="str">
        <f aca="false">B30</f>
        <v>   Pipeline Partnerships</v>
      </c>
      <c r="AC30" s="75" t="n">
        <f aca="false">C30</f>
        <v>48163</v>
      </c>
      <c r="AD30" s="75" t="n">
        <f aca="false">D30</f>
        <v>48660</v>
      </c>
      <c r="AE30" s="75" t="n">
        <f aca="false">E30</f>
        <v>48961</v>
      </c>
      <c r="AF30" s="75" t="n">
        <f aca="false">F30</f>
        <v>48445</v>
      </c>
      <c r="AG30" s="75" t="n">
        <f aca="false">G30</f>
        <v>49702</v>
      </c>
      <c r="AH30" s="75" t="n">
        <f aca="false">H30</f>
        <v>49991</v>
      </c>
      <c r="AI30" s="75" t="n">
        <f aca="false">I30</f>
        <v>46599</v>
      </c>
      <c r="AJ30" s="75" t="n">
        <f aca="false">J30</f>
        <v>46906</v>
      </c>
      <c r="AK30" s="75" t="n">
        <f aca="false">K30</f>
        <v>45148</v>
      </c>
      <c r="AL30" s="75" t="n">
        <f aca="false">L30</f>
        <v>44644</v>
      </c>
      <c r="AM30" s="75" t="n">
        <f aca="false">M30</f>
        <v>44941</v>
      </c>
      <c r="AN30" s="75" t="n">
        <f aca="false">N30</f>
        <v>45255</v>
      </c>
      <c r="AO30" s="75" t="n">
        <f aca="false">O30</f>
        <v>44443</v>
      </c>
      <c r="AP30" s="52"/>
      <c r="AQ30" s="71"/>
      <c r="AR30" s="52"/>
      <c r="BA30" s="72" t="str">
        <f aca="false">AA30</f>
        <v>5</v>
      </c>
      <c r="BB30" s="73" t="str">
        <f aca="false">B30</f>
        <v>   Pipeline Partnerships</v>
      </c>
      <c r="BC30" s="74" t="n">
        <v>0</v>
      </c>
      <c r="BD30" s="74" t="n">
        <v>0</v>
      </c>
      <c r="BE30" s="74" t="n">
        <v>0</v>
      </c>
      <c r="BF30" s="74" t="n">
        <v>0</v>
      </c>
      <c r="BG30" s="74" t="n">
        <v>0</v>
      </c>
      <c r="BH30" s="74" t="n">
        <v>0</v>
      </c>
      <c r="BI30" s="74" t="n">
        <v>0</v>
      </c>
      <c r="BJ30" s="74" t="n">
        <v>0</v>
      </c>
      <c r="BK30" s="74" t="n">
        <v>0</v>
      </c>
      <c r="BL30" s="74" t="n">
        <v>0</v>
      </c>
      <c r="BM30" s="74" t="n">
        <v>0</v>
      </c>
      <c r="BN30" s="74" t="n">
        <v>0</v>
      </c>
      <c r="BO30" s="74" t="n">
        <v>0</v>
      </c>
      <c r="CA30" s="72" t="str">
        <f aca="false">A30</f>
        <v>5</v>
      </c>
      <c r="CB30" s="73" t="str">
        <f aca="false">B30</f>
        <v>   Pipeline Partnerships</v>
      </c>
      <c r="CC30" s="75" t="n">
        <f aca="false">C30-AC30-BC30</f>
        <v>0</v>
      </c>
      <c r="CD30" s="75" t="n">
        <f aca="false">D30-AD30-BD30</f>
        <v>0</v>
      </c>
      <c r="CE30" s="75" t="n">
        <f aca="false">E30-AE30-BE30</f>
        <v>0</v>
      </c>
      <c r="CF30" s="75" t="n">
        <f aca="false">F30-AF30-BF30</f>
        <v>0</v>
      </c>
      <c r="CG30" s="75" t="n">
        <f aca="false">G30-AG30-BG30</f>
        <v>0</v>
      </c>
      <c r="CH30" s="75" t="n">
        <f aca="false">H30-AH30-BH30</f>
        <v>0</v>
      </c>
      <c r="CI30" s="75" t="n">
        <f aca="false">I30-AI30-BI30</f>
        <v>0</v>
      </c>
      <c r="CJ30" s="75" t="n">
        <f aca="false">J30-AJ30-BJ30</f>
        <v>0</v>
      </c>
      <c r="CK30" s="75" t="n">
        <f aca="false">K30-AK30-BK30</f>
        <v>0</v>
      </c>
      <c r="CL30" s="75" t="n">
        <f aca="false">L30-AL30-BL30</f>
        <v>0</v>
      </c>
      <c r="CM30" s="75" t="n">
        <f aca="false">M30-AM30-BM30</f>
        <v>0</v>
      </c>
      <c r="CN30" s="75" t="n">
        <f aca="false">N30-AN30-BN30</f>
        <v>0</v>
      </c>
      <c r="CO30" s="75" t="n">
        <f aca="false">O30-AO30-BO30</f>
        <v>0</v>
      </c>
      <c r="CP30" s="52"/>
    </row>
    <row r="31" customFormat="false" ht="12.75" hidden="false" customHeight="false" outlineLevel="0" collapsed="false">
      <c r="A31" s="72"/>
      <c r="B31" s="73" t="s">
        <v>305</v>
      </c>
      <c r="C31" s="71" t="n">
        <f aca="false">BACKUP!C144</f>
        <v>28904</v>
      </c>
      <c r="D31" s="71" t="n">
        <f aca="false">BACKUP!D144</f>
        <v>34674</v>
      </c>
      <c r="E31" s="71" t="n">
        <f aca="false">BACKUP!E144</f>
        <v>40965</v>
      </c>
      <c r="F31" s="71" t="n">
        <f aca="false">BACKUP!F144</f>
        <v>38317</v>
      </c>
      <c r="G31" s="71" t="n">
        <f aca="false">BACKUP!G144</f>
        <v>39856</v>
      </c>
      <c r="H31" s="71" t="n">
        <f aca="false">BACKUP!H144</f>
        <v>27978</v>
      </c>
      <c r="I31" s="71" t="n">
        <f aca="false">BACKUP!I144</f>
        <v>14302</v>
      </c>
      <c r="J31" s="71" t="n">
        <f aca="false">BACKUP!J144</f>
        <v>12478</v>
      </c>
      <c r="K31" s="71" t="n">
        <f aca="false">BACKUP!K144</f>
        <v>12478</v>
      </c>
      <c r="L31" s="71" t="n">
        <f aca="false">BACKUP!L144</f>
        <v>12478</v>
      </c>
      <c r="M31" s="71" t="n">
        <f aca="false">BACKUP!M144</f>
        <v>12478</v>
      </c>
      <c r="N31" s="71" t="n">
        <f aca="false">BACKUP!N144</f>
        <v>12478</v>
      </c>
      <c r="O31" s="71" t="n">
        <f aca="false">BACKUP!O144</f>
        <v>12478</v>
      </c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72"/>
      <c r="AB31" s="73" t="str">
        <f aca="false">B31</f>
        <v>   Asset Price Risk Management</v>
      </c>
      <c r="AC31" s="74" t="n">
        <v>0</v>
      </c>
      <c r="AD31" s="74" t="n">
        <v>0</v>
      </c>
      <c r="AE31" s="74" t="n">
        <v>0</v>
      </c>
      <c r="AF31" s="74" t="n">
        <v>0</v>
      </c>
      <c r="AG31" s="74" t="n">
        <v>0</v>
      </c>
      <c r="AH31" s="74" t="n">
        <v>0</v>
      </c>
      <c r="AI31" s="74" t="n">
        <v>0</v>
      </c>
      <c r="AJ31" s="74" t="n">
        <v>0</v>
      </c>
      <c r="AK31" s="74" t="n">
        <v>0</v>
      </c>
      <c r="AL31" s="74" t="n">
        <v>0</v>
      </c>
      <c r="AM31" s="74" t="n">
        <v>0</v>
      </c>
      <c r="AN31" s="74" t="n">
        <v>0</v>
      </c>
      <c r="AO31" s="74" t="n">
        <v>0</v>
      </c>
      <c r="AP31" s="52"/>
      <c r="AQ31" s="71"/>
      <c r="AR31" s="52"/>
      <c r="BA31" s="72"/>
      <c r="BB31" s="73" t="str">
        <f aca="false">B31</f>
        <v>   Asset Price Risk Management</v>
      </c>
      <c r="BC31" s="74" t="n">
        <v>0</v>
      </c>
      <c r="BD31" s="74" t="n">
        <v>0</v>
      </c>
      <c r="BE31" s="74" t="n">
        <v>0</v>
      </c>
      <c r="BF31" s="74" t="n">
        <v>0</v>
      </c>
      <c r="BG31" s="74" t="n">
        <v>0</v>
      </c>
      <c r="BH31" s="74" t="n">
        <v>0</v>
      </c>
      <c r="BI31" s="74" t="n">
        <v>0</v>
      </c>
      <c r="BJ31" s="74" t="n">
        <v>0</v>
      </c>
      <c r="BK31" s="74" t="n">
        <v>0</v>
      </c>
      <c r="BL31" s="74" t="n">
        <v>0</v>
      </c>
      <c r="BM31" s="74" t="n">
        <v>0</v>
      </c>
      <c r="BN31" s="74" t="n">
        <v>0</v>
      </c>
      <c r="BO31" s="74" t="n">
        <v>0</v>
      </c>
      <c r="CA31" s="72"/>
      <c r="CB31" s="73" t="str">
        <f aca="false">B31</f>
        <v>   Asset Price Risk Management</v>
      </c>
      <c r="CC31" s="75" t="n">
        <f aca="false">C31-AC31-BC31</f>
        <v>28904</v>
      </c>
      <c r="CD31" s="75" t="n">
        <f aca="false">D31-AD31-BD31</f>
        <v>34674</v>
      </c>
      <c r="CE31" s="75" t="n">
        <f aca="false">E31-AE31-BE31</f>
        <v>40965</v>
      </c>
      <c r="CF31" s="75" t="n">
        <f aca="false">F31-AF31-BF31</f>
        <v>38317</v>
      </c>
      <c r="CG31" s="75" t="n">
        <f aca="false">G31-AG31-BG31</f>
        <v>39856</v>
      </c>
      <c r="CH31" s="75" t="n">
        <f aca="false">H31-AH31-BH31</f>
        <v>27978</v>
      </c>
      <c r="CI31" s="75" t="n">
        <f aca="false">I31-AI31-BI31</f>
        <v>14302</v>
      </c>
      <c r="CJ31" s="75" t="n">
        <f aca="false">J31-AJ31-BJ31</f>
        <v>12478</v>
      </c>
      <c r="CK31" s="75" t="n">
        <f aca="false">K31-AK31-BK31</f>
        <v>12478</v>
      </c>
      <c r="CL31" s="75" t="n">
        <f aca="false">L31-AL31-BL31</f>
        <v>12478</v>
      </c>
      <c r="CM31" s="75" t="n">
        <f aca="false">M31-AM31-BM31</f>
        <v>12478</v>
      </c>
      <c r="CN31" s="75" t="n">
        <f aca="false">N31-AN31-BN31</f>
        <v>12478</v>
      </c>
      <c r="CO31" s="75" t="n">
        <f aca="false">O31-AO31-BO31</f>
        <v>12478</v>
      </c>
      <c r="CP31" s="52"/>
    </row>
    <row r="32" customFormat="false" ht="12.75" hidden="false" customHeight="false" outlineLevel="0" collapsed="false">
      <c r="A32" s="72" t="s">
        <v>318</v>
      </c>
      <c r="B32" s="73" t="s">
        <v>41</v>
      </c>
      <c r="C32" s="80" t="n">
        <f aca="false">BACKUP!C132</f>
        <v>3728</v>
      </c>
      <c r="D32" s="80" t="n">
        <f aca="false">BACKUP!D132</f>
        <v>3728</v>
      </c>
      <c r="E32" s="80" t="n">
        <f aca="false">BACKUP!E132</f>
        <v>3728</v>
      </c>
      <c r="F32" s="80" t="n">
        <f aca="false">BACKUP!F132</f>
        <v>3728</v>
      </c>
      <c r="G32" s="80" t="n">
        <f aca="false">BACKUP!G132</f>
        <v>3728</v>
      </c>
      <c r="H32" s="80" t="n">
        <f aca="false">BACKUP!H132</f>
        <v>3728</v>
      </c>
      <c r="I32" s="80" t="n">
        <f aca="false">BACKUP!I132</f>
        <v>3728</v>
      </c>
      <c r="J32" s="80" t="n">
        <f aca="false">BACKUP!J132</f>
        <v>3728</v>
      </c>
      <c r="K32" s="80" t="n">
        <f aca="false">BACKUP!K132</f>
        <v>3728</v>
      </c>
      <c r="L32" s="80" t="n">
        <f aca="false">BACKUP!L132</f>
        <v>3728</v>
      </c>
      <c r="M32" s="80" t="n">
        <f aca="false">BACKUP!M132</f>
        <v>3728</v>
      </c>
      <c r="N32" s="80" t="n">
        <f aca="false">BACKUP!N132</f>
        <v>3728</v>
      </c>
      <c r="O32" s="80" t="n">
        <f aca="false">BACKUP!O132</f>
        <v>3728</v>
      </c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72" t="str">
        <f aca="false">A32</f>
        <v>5</v>
      </c>
      <c r="AB32" s="73" t="str">
        <f aca="false">B32</f>
        <v>   Other</v>
      </c>
      <c r="AC32" s="81" t="n">
        <v>0</v>
      </c>
      <c r="AD32" s="81" t="n">
        <v>0</v>
      </c>
      <c r="AE32" s="81" t="n">
        <v>0</v>
      </c>
      <c r="AF32" s="81" t="n">
        <v>0</v>
      </c>
      <c r="AG32" s="81" t="n">
        <v>0</v>
      </c>
      <c r="AH32" s="81" t="n">
        <v>0</v>
      </c>
      <c r="AI32" s="81" t="n">
        <v>0</v>
      </c>
      <c r="AJ32" s="81" t="n">
        <v>0</v>
      </c>
      <c r="AK32" s="81" t="n">
        <v>0</v>
      </c>
      <c r="AL32" s="81" t="n">
        <v>0</v>
      </c>
      <c r="AM32" s="81" t="n">
        <v>0</v>
      </c>
      <c r="AN32" s="81" t="n">
        <v>0</v>
      </c>
      <c r="AO32" s="81" t="n">
        <v>0</v>
      </c>
      <c r="AP32" s="52"/>
      <c r="AQ32" s="71"/>
      <c r="AR32" s="52"/>
      <c r="BA32" s="72" t="str">
        <f aca="false">AA32</f>
        <v>5</v>
      </c>
      <c r="BB32" s="73" t="str">
        <f aca="false">B32</f>
        <v>   Other</v>
      </c>
      <c r="BC32" s="81" t="n">
        <v>0</v>
      </c>
      <c r="BD32" s="81" t="n">
        <v>0</v>
      </c>
      <c r="BE32" s="81" t="n">
        <v>0</v>
      </c>
      <c r="BF32" s="81" t="n">
        <v>0</v>
      </c>
      <c r="BG32" s="81" t="n">
        <v>0</v>
      </c>
      <c r="BH32" s="81" t="n">
        <v>0</v>
      </c>
      <c r="BI32" s="81" t="n">
        <v>0</v>
      </c>
      <c r="BJ32" s="81" t="n">
        <v>0</v>
      </c>
      <c r="BK32" s="81" t="n">
        <v>0</v>
      </c>
      <c r="BL32" s="81" t="n">
        <v>0</v>
      </c>
      <c r="BM32" s="81" t="n">
        <v>0</v>
      </c>
      <c r="BN32" s="81" t="n">
        <v>0</v>
      </c>
      <c r="BO32" s="81" t="n">
        <v>0</v>
      </c>
      <c r="CA32" s="72" t="str">
        <f aca="false">A32</f>
        <v>5</v>
      </c>
      <c r="CB32" s="73" t="str">
        <f aca="false">B32</f>
        <v>   Other</v>
      </c>
      <c r="CC32" s="82" t="n">
        <f aca="false">C32-AC32-BC32</f>
        <v>3728</v>
      </c>
      <c r="CD32" s="82" t="n">
        <f aca="false">D32-AD32-BD32</f>
        <v>3728</v>
      </c>
      <c r="CE32" s="82" t="n">
        <f aca="false">E32-AE32-BE32</f>
        <v>3728</v>
      </c>
      <c r="CF32" s="82" t="n">
        <f aca="false">F32-AF32-BF32</f>
        <v>3728</v>
      </c>
      <c r="CG32" s="82" t="n">
        <f aca="false">G32-AG32-BG32</f>
        <v>3728</v>
      </c>
      <c r="CH32" s="82" t="n">
        <f aca="false">H32-AH32-BH32</f>
        <v>3728</v>
      </c>
      <c r="CI32" s="82" t="n">
        <f aca="false">I32-AI32-BI32</f>
        <v>3728</v>
      </c>
      <c r="CJ32" s="82" t="n">
        <f aca="false">J32-AJ32-BJ32</f>
        <v>3728</v>
      </c>
      <c r="CK32" s="82" t="n">
        <f aca="false">K32-AK32-BK32</f>
        <v>3728</v>
      </c>
      <c r="CL32" s="82" t="n">
        <f aca="false">L32-AL32-BL32</f>
        <v>3728</v>
      </c>
      <c r="CM32" s="82" t="n">
        <f aca="false">M32-AM32-BM32</f>
        <v>3728</v>
      </c>
      <c r="CN32" s="82" t="n">
        <f aca="false">N32-AN32-BN32</f>
        <v>3728</v>
      </c>
      <c r="CO32" s="82" t="n">
        <f aca="false">O32-AO32-BO32</f>
        <v>3728</v>
      </c>
      <c r="CP32" s="52"/>
    </row>
    <row r="33" customFormat="false" ht="3.95" hidden="false" customHeight="true" outlineLevel="0" collapsed="false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BA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</row>
    <row r="34" customFormat="false" ht="12.75" hidden="false" customHeight="false" outlineLevel="0" collapsed="false">
      <c r="A34" s="49"/>
      <c r="B34" s="70" t="s">
        <v>320</v>
      </c>
      <c r="C34" s="80" t="n">
        <f aca="false">SUM(C30:C33)</f>
        <v>80795</v>
      </c>
      <c r="D34" s="80" t="n">
        <f aca="false">SUM(D30:D33)</f>
        <v>87062</v>
      </c>
      <c r="E34" s="80" t="n">
        <f aca="false">SUM(E30:E33)</f>
        <v>93654</v>
      </c>
      <c r="F34" s="80" t="n">
        <f aca="false">SUM(F30:F33)</f>
        <v>90490</v>
      </c>
      <c r="G34" s="80" t="n">
        <f aca="false">SUM(G30:G33)</f>
        <v>93286</v>
      </c>
      <c r="H34" s="80" t="n">
        <f aca="false">SUM(H30:H33)</f>
        <v>81697</v>
      </c>
      <c r="I34" s="80" t="n">
        <f aca="false">SUM(I30:I33)</f>
        <v>64629</v>
      </c>
      <c r="J34" s="80" t="n">
        <f aca="false">SUM(J30:J33)</f>
        <v>63112</v>
      </c>
      <c r="K34" s="80" t="n">
        <f aca="false">SUM(K30:K33)</f>
        <v>61354</v>
      </c>
      <c r="L34" s="80" t="n">
        <f aca="false">SUM(L30:L33)</f>
        <v>60850</v>
      </c>
      <c r="M34" s="80" t="n">
        <f aca="false">SUM(M30:M33)</f>
        <v>61147</v>
      </c>
      <c r="N34" s="80" t="n">
        <f aca="false">SUM(N30:N33)</f>
        <v>61461</v>
      </c>
      <c r="O34" s="80" t="n">
        <f aca="false">SUM(O30:O33)</f>
        <v>60649</v>
      </c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49"/>
      <c r="AB34" s="70" t="str">
        <f aca="false">B34</f>
        <v>      Total Investments &amp; Other Assets</v>
      </c>
      <c r="AC34" s="80" t="n">
        <f aca="false">SUM(AC30:AC33)</f>
        <v>48163</v>
      </c>
      <c r="AD34" s="80" t="n">
        <f aca="false">SUM(AD30:AD33)</f>
        <v>48660</v>
      </c>
      <c r="AE34" s="80" t="n">
        <f aca="false">SUM(AE30:AE33)</f>
        <v>48961</v>
      </c>
      <c r="AF34" s="80" t="n">
        <f aca="false">SUM(AF30:AF33)</f>
        <v>48445</v>
      </c>
      <c r="AG34" s="80" t="n">
        <f aca="false">SUM(AG30:AG33)</f>
        <v>49702</v>
      </c>
      <c r="AH34" s="80" t="n">
        <f aca="false">SUM(AH30:AH33)</f>
        <v>49991</v>
      </c>
      <c r="AI34" s="80" t="n">
        <f aca="false">SUM(AI30:AI33)</f>
        <v>46599</v>
      </c>
      <c r="AJ34" s="80" t="n">
        <f aca="false">SUM(AJ30:AJ33)</f>
        <v>46906</v>
      </c>
      <c r="AK34" s="80" t="n">
        <f aca="false">SUM(AK30:AK33)</f>
        <v>45148</v>
      </c>
      <c r="AL34" s="80" t="n">
        <f aca="false">SUM(AL30:AL33)</f>
        <v>44644</v>
      </c>
      <c r="AM34" s="80" t="n">
        <f aca="false">SUM(AM30:AM33)</f>
        <v>44941</v>
      </c>
      <c r="AN34" s="80" t="n">
        <f aca="false">SUM(AN30:AN33)</f>
        <v>45255</v>
      </c>
      <c r="AO34" s="80" t="n">
        <f aca="false">SUM(AO30:AO33)</f>
        <v>44443</v>
      </c>
      <c r="AP34" s="52"/>
      <c r="AQ34" s="71"/>
      <c r="AR34" s="52"/>
      <c r="BA34" s="49"/>
      <c r="BB34" s="70" t="str">
        <f aca="false">B34</f>
        <v>      Total Investments &amp; Other Assets</v>
      </c>
      <c r="BC34" s="80" t="n">
        <f aca="false">SUM(BC30:BC33)</f>
        <v>0</v>
      </c>
      <c r="BD34" s="80" t="n">
        <f aca="false">SUM(BD30:BD33)</f>
        <v>0</v>
      </c>
      <c r="BE34" s="80" t="n">
        <f aca="false">SUM(BE30:BE33)</f>
        <v>0</v>
      </c>
      <c r="BF34" s="80" t="n">
        <f aca="false">SUM(BF30:BF33)</f>
        <v>0</v>
      </c>
      <c r="BG34" s="80" t="n">
        <f aca="false">SUM(BG30:BG33)</f>
        <v>0</v>
      </c>
      <c r="BH34" s="80" t="n">
        <f aca="false">SUM(BH30:BH33)</f>
        <v>0</v>
      </c>
      <c r="BI34" s="80" t="n">
        <f aca="false">SUM(BI30:BI33)</f>
        <v>0</v>
      </c>
      <c r="BJ34" s="80" t="n">
        <f aca="false">SUM(BJ30:BJ33)</f>
        <v>0</v>
      </c>
      <c r="BK34" s="80" t="n">
        <f aca="false">SUM(BK30:BK33)</f>
        <v>0</v>
      </c>
      <c r="BL34" s="80" t="n">
        <f aca="false">SUM(BL30:BL33)</f>
        <v>0</v>
      </c>
      <c r="BM34" s="80" t="n">
        <f aca="false">SUM(BM30:BM33)</f>
        <v>0</v>
      </c>
      <c r="BN34" s="80" t="n">
        <f aca="false">SUM(BN30:BN33)</f>
        <v>0</v>
      </c>
      <c r="BO34" s="80" t="n">
        <f aca="false">SUM(BO30:BO33)</f>
        <v>0</v>
      </c>
      <c r="CA34" s="49"/>
      <c r="CB34" s="70" t="str">
        <f aca="false">B34</f>
        <v>      Total Investments &amp; Other Assets</v>
      </c>
      <c r="CC34" s="80" t="n">
        <f aca="false">SUM(CC30:CC33)</f>
        <v>32632</v>
      </c>
      <c r="CD34" s="80" t="n">
        <f aca="false">SUM(CD30:CD33)</f>
        <v>38402</v>
      </c>
      <c r="CE34" s="80" t="n">
        <f aca="false">SUM(CE30:CE33)</f>
        <v>44693</v>
      </c>
      <c r="CF34" s="80" t="n">
        <f aca="false">SUM(CF30:CF33)</f>
        <v>42045</v>
      </c>
      <c r="CG34" s="80" t="n">
        <f aca="false">SUM(CG30:CG33)</f>
        <v>43584</v>
      </c>
      <c r="CH34" s="80" t="n">
        <f aca="false">SUM(CH30:CH33)</f>
        <v>31706</v>
      </c>
      <c r="CI34" s="80" t="n">
        <f aca="false">SUM(CI30:CI33)</f>
        <v>18030</v>
      </c>
      <c r="CJ34" s="80" t="n">
        <f aca="false">SUM(CJ30:CJ33)</f>
        <v>16206</v>
      </c>
      <c r="CK34" s="80" t="n">
        <f aca="false">SUM(CK30:CK33)</f>
        <v>16206</v>
      </c>
      <c r="CL34" s="80" t="n">
        <f aca="false">SUM(CL30:CL33)</f>
        <v>16206</v>
      </c>
      <c r="CM34" s="80" t="n">
        <f aca="false">SUM(CM30:CM33)</f>
        <v>16206</v>
      </c>
      <c r="CN34" s="80" t="n">
        <f aca="false">SUM(CN30:CN33)</f>
        <v>16206</v>
      </c>
      <c r="CO34" s="80" t="n">
        <f aca="false">SUM(CO30:CO33)</f>
        <v>16206</v>
      </c>
      <c r="CP34" s="52"/>
    </row>
    <row r="35" customFormat="false" ht="12.75" hidden="false" customHeight="false" outlineLevel="0" collapsed="false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BA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</row>
    <row r="36" customFormat="false" ht="12.75" hidden="false" customHeight="false" outlineLevel="0" collapsed="false">
      <c r="A36" s="52"/>
      <c r="B36" s="52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52"/>
      <c r="AQ36" s="71"/>
      <c r="AR36" s="52"/>
      <c r="BA36" s="52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CA36" s="52"/>
      <c r="CB36" s="52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52"/>
    </row>
    <row r="37" customFormat="false" ht="12.75" hidden="false" customHeight="false" outlineLevel="0" collapsed="false">
      <c r="A37" s="49"/>
      <c r="B37" s="70" t="s">
        <v>321</v>
      </c>
      <c r="C37" s="71" t="n">
        <f aca="false">BACKUP!C161</f>
        <v>2743864</v>
      </c>
      <c r="D37" s="71" t="n">
        <f aca="false">BACKUP!D161</f>
        <v>2789700</v>
      </c>
      <c r="E37" s="71" t="n">
        <f aca="false">BACKUP!E161</f>
        <v>2799985</v>
      </c>
      <c r="F37" s="71" t="n">
        <f aca="false">BACKUP!F161</f>
        <v>2802242</v>
      </c>
      <c r="G37" s="71" t="n">
        <f aca="false">BACKUP!G161</f>
        <v>2797139</v>
      </c>
      <c r="H37" s="71" t="n">
        <f aca="false">BACKUP!H161</f>
        <v>2796071</v>
      </c>
      <c r="I37" s="71" t="n">
        <f aca="false">BACKUP!I161</f>
        <v>2790132</v>
      </c>
      <c r="J37" s="71" t="n">
        <f aca="false">BACKUP!J161</f>
        <v>2774979</v>
      </c>
      <c r="K37" s="71" t="n">
        <f aca="false">BACKUP!K161</f>
        <v>2783475</v>
      </c>
      <c r="L37" s="71" t="n">
        <f aca="false">BACKUP!L161</f>
        <v>2794875</v>
      </c>
      <c r="M37" s="71" t="n">
        <f aca="false">BACKUP!M161</f>
        <v>2803836</v>
      </c>
      <c r="N37" s="71" t="n">
        <f aca="false">BACKUP!N161</f>
        <v>2812795</v>
      </c>
      <c r="O37" s="71" t="n">
        <f aca="false">BACKUP!O161</f>
        <v>2817365</v>
      </c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49"/>
      <c r="AB37" s="70" t="str">
        <f aca="false">B37</f>
        <v>PLANT</v>
      </c>
      <c r="AC37" s="74" t="n">
        <v>0</v>
      </c>
      <c r="AD37" s="75" t="n">
        <f aca="false">AC37</f>
        <v>0</v>
      </c>
      <c r="AE37" s="75" t="n">
        <f aca="false">AD37</f>
        <v>0</v>
      </c>
      <c r="AF37" s="75" t="n">
        <f aca="false">AE37</f>
        <v>0</v>
      </c>
      <c r="AG37" s="75" t="n">
        <f aca="false">AF37</f>
        <v>0</v>
      </c>
      <c r="AH37" s="75" t="n">
        <f aca="false">AG37</f>
        <v>0</v>
      </c>
      <c r="AI37" s="75" t="n">
        <f aca="false">AH37</f>
        <v>0</v>
      </c>
      <c r="AJ37" s="75" t="n">
        <f aca="false">AI37</f>
        <v>0</v>
      </c>
      <c r="AK37" s="75" t="n">
        <f aca="false">AJ37</f>
        <v>0</v>
      </c>
      <c r="AL37" s="75" t="n">
        <f aca="false">AK37</f>
        <v>0</v>
      </c>
      <c r="AM37" s="75" t="n">
        <f aca="false">AL37</f>
        <v>0</v>
      </c>
      <c r="AN37" s="75" t="n">
        <f aca="false">AM37</f>
        <v>0</v>
      </c>
      <c r="AO37" s="75" t="n">
        <f aca="false">AN37</f>
        <v>0</v>
      </c>
      <c r="AP37" s="52"/>
      <c r="AQ37" s="71"/>
      <c r="AR37" s="52"/>
      <c r="BA37" s="49"/>
      <c r="BB37" s="70" t="str">
        <f aca="false">B37</f>
        <v>PLANT</v>
      </c>
      <c r="BC37" s="74" t="n">
        <v>25124</v>
      </c>
      <c r="BD37" s="75" t="n">
        <f aca="false">BC37</f>
        <v>25124</v>
      </c>
      <c r="BE37" s="75" t="n">
        <f aca="false">BD37</f>
        <v>25124</v>
      </c>
      <c r="BF37" s="75" t="n">
        <f aca="false">BE37</f>
        <v>25124</v>
      </c>
      <c r="BG37" s="75" t="n">
        <f aca="false">BF37</f>
        <v>25124</v>
      </c>
      <c r="BH37" s="75" t="n">
        <f aca="false">BG37</f>
        <v>25124</v>
      </c>
      <c r="BI37" s="75" t="n">
        <f aca="false">BH37</f>
        <v>25124</v>
      </c>
      <c r="BJ37" s="75" t="n">
        <f aca="false">BI37</f>
        <v>25124</v>
      </c>
      <c r="BK37" s="75" t="n">
        <f aca="false">BJ37</f>
        <v>25124</v>
      </c>
      <c r="BL37" s="75" t="n">
        <f aca="false">BK37</f>
        <v>25124</v>
      </c>
      <c r="BM37" s="75" t="n">
        <f aca="false">BL37</f>
        <v>25124</v>
      </c>
      <c r="BN37" s="75" t="n">
        <f aca="false">BM37</f>
        <v>25124</v>
      </c>
      <c r="BO37" s="75" t="n">
        <f aca="false">BN37</f>
        <v>25124</v>
      </c>
      <c r="CA37" s="49"/>
      <c r="CB37" s="70" t="str">
        <f aca="false">B37</f>
        <v>PLANT</v>
      </c>
      <c r="CC37" s="75" t="n">
        <f aca="false">C37-AC37-BC37</f>
        <v>2718740</v>
      </c>
      <c r="CD37" s="75" t="n">
        <f aca="false">D37-AD37-BD37</f>
        <v>2764576</v>
      </c>
      <c r="CE37" s="75" t="n">
        <f aca="false">E37-AE37-BE37</f>
        <v>2774861</v>
      </c>
      <c r="CF37" s="75" t="n">
        <f aca="false">F37-AF37-BF37</f>
        <v>2777118</v>
      </c>
      <c r="CG37" s="75" t="n">
        <f aca="false">G37-AG37-BG37</f>
        <v>2772015</v>
      </c>
      <c r="CH37" s="75" t="n">
        <f aca="false">H37-AH37-BH37</f>
        <v>2770947</v>
      </c>
      <c r="CI37" s="75" t="n">
        <f aca="false">I37-AI37-BI37</f>
        <v>2765008</v>
      </c>
      <c r="CJ37" s="75" t="n">
        <f aca="false">J37-AJ37-BJ37</f>
        <v>2749855</v>
      </c>
      <c r="CK37" s="75" t="n">
        <f aca="false">K37-AK37-BK37</f>
        <v>2758351</v>
      </c>
      <c r="CL37" s="75" t="n">
        <f aca="false">L37-AL37-BL37</f>
        <v>2769751</v>
      </c>
      <c r="CM37" s="75" t="n">
        <f aca="false">M37-AM37-BM37</f>
        <v>2778712</v>
      </c>
      <c r="CN37" s="75" t="n">
        <f aca="false">N37-AN37-BN37</f>
        <v>2787671</v>
      </c>
      <c r="CO37" s="75" t="n">
        <f aca="false">O37-AO37-BO37</f>
        <v>2792241</v>
      </c>
      <c r="CP37" s="52"/>
    </row>
    <row r="38" customFormat="false" ht="12.75" hidden="false" customHeight="false" outlineLevel="0" collapsed="false">
      <c r="A38" s="52"/>
      <c r="B38" s="73" t="s">
        <v>322</v>
      </c>
      <c r="C38" s="80" t="n">
        <f aca="false">BACKUP!C176</f>
        <v>1442835</v>
      </c>
      <c r="D38" s="80" t="n">
        <f aca="false">BACKUP!D176</f>
        <v>1446637</v>
      </c>
      <c r="E38" s="80" t="n">
        <f aca="false">BACKUP!E176</f>
        <v>1450495</v>
      </c>
      <c r="F38" s="80" t="n">
        <f aca="false">BACKUP!F176</f>
        <v>1454095</v>
      </c>
      <c r="G38" s="80" t="n">
        <f aca="false">BACKUP!G176</f>
        <v>1457697</v>
      </c>
      <c r="H38" s="80" t="n">
        <f aca="false">BACKUP!H176</f>
        <v>1463022</v>
      </c>
      <c r="I38" s="80" t="n">
        <f aca="false">BACKUP!I176</f>
        <v>1464768</v>
      </c>
      <c r="J38" s="80" t="n">
        <f aca="false">BACKUP!J176</f>
        <v>1450869</v>
      </c>
      <c r="K38" s="80" t="n">
        <f aca="false">BACKUP!K176</f>
        <v>1454669</v>
      </c>
      <c r="L38" s="80" t="n">
        <f aca="false">BACKUP!L176</f>
        <v>1458514</v>
      </c>
      <c r="M38" s="80" t="n">
        <f aca="false">BACKUP!M176</f>
        <v>1463659</v>
      </c>
      <c r="N38" s="80" t="n">
        <f aca="false">BACKUP!N176</f>
        <v>1467554</v>
      </c>
      <c r="O38" s="80" t="n">
        <f aca="false">BACKUP!O176</f>
        <v>1471499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73" t="str">
        <f aca="false">B38</f>
        <v>   Accumulated Depreciation</v>
      </c>
      <c r="AC38" s="81" t="n">
        <v>0</v>
      </c>
      <c r="AD38" s="82" t="n">
        <f aca="false">AC38</f>
        <v>0</v>
      </c>
      <c r="AE38" s="82" t="n">
        <f aca="false">AD38</f>
        <v>0</v>
      </c>
      <c r="AF38" s="82" t="n">
        <f aca="false">AE38</f>
        <v>0</v>
      </c>
      <c r="AG38" s="82" t="n">
        <f aca="false">AF38</f>
        <v>0</v>
      </c>
      <c r="AH38" s="82" t="n">
        <f aca="false">AG38</f>
        <v>0</v>
      </c>
      <c r="AI38" s="82" t="n">
        <f aca="false">AH38</f>
        <v>0</v>
      </c>
      <c r="AJ38" s="82" t="n">
        <f aca="false">AI38</f>
        <v>0</v>
      </c>
      <c r="AK38" s="82" t="n">
        <f aca="false">AJ38</f>
        <v>0</v>
      </c>
      <c r="AL38" s="82" t="n">
        <f aca="false">AK38</f>
        <v>0</v>
      </c>
      <c r="AM38" s="82" t="n">
        <f aca="false">AL38</f>
        <v>0</v>
      </c>
      <c r="AN38" s="82" t="n">
        <f aca="false">AM38</f>
        <v>0</v>
      </c>
      <c r="AO38" s="82" t="n">
        <f aca="false">AN38</f>
        <v>0</v>
      </c>
      <c r="AP38" s="52"/>
      <c r="AQ38" s="71"/>
      <c r="AR38" s="52"/>
      <c r="BA38" s="52"/>
      <c r="BB38" s="73" t="str">
        <f aca="false">B38</f>
        <v>   Accumulated Depreciation</v>
      </c>
      <c r="BC38" s="81" t="n">
        <v>17136</v>
      </c>
      <c r="BD38" s="83" t="n">
        <f aca="false">BC38+'[1]Fuel-Depr-OtherTax'!C$24+2</f>
        <v>17164</v>
      </c>
      <c r="BE38" s="84" t="n">
        <f aca="false">BD38+'[1]Fuel-Depr-OtherTax'!D$24</f>
        <v>17190</v>
      </c>
      <c r="BF38" s="84" t="n">
        <f aca="false">BE38+'[1]Fuel-Depr-OtherTax'!E$24</f>
        <v>17216</v>
      </c>
      <c r="BG38" s="84" t="n">
        <f aca="false">BF38+'[1]Fuel-Depr-OtherTax'!F$24</f>
        <v>17242</v>
      </c>
      <c r="BH38" s="84" t="n">
        <f aca="false">BG38+'[1]Fuel-Depr-OtherTax'!G$24</f>
        <v>17268</v>
      </c>
      <c r="BI38" s="81" t="n">
        <f aca="false">BH38+'[1]Fuel-Depr-OtherTax'!H$24+1</f>
        <v>17295</v>
      </c>
      <c r="BJ38" s="84" t="n">
        <f aca="false">BI38+'[1]Fuel-Depr-OtherTax'!I$24</f>
        <v>17321</v>
      </c>
      <c r="BK38" s="84" t="n">
        <f aca="false">BJ38+'[1]Fuel-Depr-OtherTax'!J$24</f>
        <v>17347</v>
      </c>
      <c r="BL38" s="84" t="n">
        <f aca="false">BK38+'[1]Fuel-Depr-OtherTax'!K$24</f>
        <v>17373</v>
      </c>
      <c r="BM38" s="84" t="n">
        <f aca="false">BL38+'[1]Fuel-Depr-OtherTax'!L$24</f>
        <v>17399</v>
      </c>
      <c r="BN38" s="84" t="n">
        <f aca="false">BM38+'[1]Fuel-Depr-OtherTax'!M$24</f>
        <v>17425</v>
      </c>
      <c r="BO38" s="84" t="n">
        <f aca="false">BN38+'[1]Fuel-Depr-OtherTax'!N$24</f>
        <v>17451</v>
      </c>
      <c r="CA38" s="52"/>
      <c r="CB38" s="73" t="str">
        <f aca="false">B38</f>
        <v>   Accumulated Depreciation</v>
      </c>
      <c r="CC38" s="82" t="n">
        <f aca="false">C38-AC38-BC38</f>
        <v>1425699</v>
      </c>
      <c r="CD38" s="82" t="n">
        <f aca="false">D38-AD38-BD38</f>
        <v>1429473</v>
      </c>
      <c r="CE38" s="82" t="n">
        <f aca="false">E38-AE38-BE38</f>
        <v>1433305</v>
      </c>
      <c r="CF38" s="82" t="n">
        <f aca="false">F38-AF38-BF38</f>
        <v>1436879</v>
      </c>
      <c r="CG38" s="82" t="n">
        <f aca="false">G38-AG38-BG38</f>
        <v>1440455</v>
      </c>
      <c r="CH38" s="82" t="n">
        <f aca="false">H38-AH38-BH38</f>
        <v>1445754</v>
      </c>
      <c r="CI38" s="82" t="n">
        <f aca="false">I38-AI38-BI38</f>
        <v>1447473</v>
      </c>
      <c r="CJ38" s="82" t="n">
        <f aca="false">J38-AJ38-BJ38</f>
        <v>1433548</v>
      </c>
      <c r="CK38" s="82" t="n">
        <f aca="false">K38-AK38-BK38</f>
        <v>1437322</v>
      </c>
      <c r="CL38" s="82" t="n">
        <f aca="false">L38-AL38-BL38</f>
        <v>1441141</v>
      </c>
      <c r="CM38" s="82" t="n">
        <f aca="false">M38-AM38-BM38</f>
        <v>1446260</v>
      </c>
      <c r="CN38" s="82" t="n">
        <f aca="false">N38-AN38-BN38</f>
        <v>1450129</v>
      </c>
      <c r="CO38" s="82" t="n">
        <f aca="false">O38-AO38-BO38</f>
        <v>1454048</v>
      </c>
      <c r="CP38" s="52"/>
    </row>
    <row r="39" customFormat="false" ht="3.95" hidden="false" customHeight="true" outlineLevel="0" collapsed="false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BA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</row>
    <row r="40" customFormat="false" ht="12.75" hidden="false" customHeight="false" outlineLevel="0" collapsed="false">
      <c r="A40" s="72" t="s">
        <v>323</v>
      </c>
      <c r="B40" s="70" t="s">
        <v>324</v>
      </c>
      <c r="C40" s="80" t="n">
        <f aca="false">C37-C38</f>
        <v>1301029</v>
      </c>
      <c r="D40" s="80" t="n">
        <f aca="false">D37-D38</f>
        <v>1343063</v>
      </c>
      <c r="E40" s="80" t="n">
        <f aca="false">E37-E38</f>
        <v>1349490</v>
      </c>
      <c r="F40" s="80" t="n">
        <f aca="false">F37-F38</f>
        <v>1348147</v>
      </c>
      <c r="G40" s="80" t="n">
        <f aca="false">G37-G38</f>
        <v>1339442</v>
      </c>
      <c r="H40" s="80" t="n">
        <f aca="false">H37-H38</f>
        <v>1333049</v>
      </c>
      <c r="I40" s="80" t="n">
        <f aca="false">I37-I38</f>
        <v>1325364</v>
      </c>
      <c r="J40" s="80" t="n">
        <f aca="false">J37-J38</f>
        <v>1324110</v>
      </c>
      <c r="K40" s="80" t="n">
        <f aca="false">K37-K38</f>
        <v>1328806</v>
      </c>
      <c r="L40" s="80" t="n">
        <f aca="false">L37-L38</f>
        <v>1336361</v>
      </c>
      <c r="M40" s="80" t="n">
        <f aca="false">M37-M38</f>
        <v>1340177</v>
      </c>
      <c r="N40" s="80" t="n">
        <f aca="false">N37-N38</f>
        <v>1345241</v>
      </c>
      <c r="O40" s="80" t="n">
        <f aca="false">O37-O38</f>
        <v>1345866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72" t="str">
        <f aca="false">A40</f>
        <v>6</v>
      </c>
      <c r="AB40" s="70" t="str">
        <f aca="false">B40</f>
        <v>      Net Plant</v>
      </c>
      <c r="AC40" s="80" t="n">
        <f aca="false">AC37-AC38</f>
        <v>0</v>
      </c>
      <c r="AD40" s="80" t="n">
        <f aca="false">AD37-AD38</f>
        <v>0</v>
      </c>
      <c r="AE40" s="80" t="n">
        <f aca="false">AE37-AE38</f>
        <v>0</v>
      </c>
      <c r="AF40" s="80" t="n">
        <f aca="false">AF37-AF38</f>
        <v>0</v>
      </c>
      <c r="AG40" s="80" t="n">
        <f aca="false">AG37-AG38</f>
        <v>0</v>
      </c>
      <c r="AH40" s="80" t="n">
        <f aca="false">AH37-AH38</f>
        <v>0</v>
      </c>
      <c r="AI40" s="80" t="n">
        <f aca="false">AI37-AI38</f>
        <v>0</v>
      </c>
      <c r="AJ40" s="80" t="n">
        <f aca="false">AJ37-AJ38</f>
        <v>0</v>
      </c>
      <c r="AK40" s="80" t="n">
        <f aca="false">AK37-AK38</f>
        <v>0</v>
      </c>
      <c r="AL40" s="80" t="n">
        <f aca="false">AL37-AL38</f>
        <v>0</v>
      </c>
      <c r="AM40" s="80" t="n">
        <f aca="false">AM37-AM38</f>
        <v>0</v>
      </c>
      <c r="AN40" s="80" t="n">
        <f aca="false">AN37-AN38</f>
        <v>0</v>
      </c>
      <c r="AO40" s="80" t="n">
        <f aca="false">AO37-AO38</f>
        <v>0</v>
      </c>
      <c r="AP40" s="52"/>
      <c r="AQ40" s="71"/>
      <c r="AR40" s="52"/>
      <c r="BA40" s="72" t="str">
        <f aca="false">AA40</f>
        <v>6</v>
      </c>
      <c r="BB40" s="70" t="str">
        <f aca="false">B40</f>
        <v>      Net Plant</v>
      </c>
      <c r="BC40" s="80" t="n">
        <f aca="false">BC37-BC38</f>
        <v>7988</v>
      </c>
      <c r="BD40" s="80" t="n">
        <f aca="false">BD37-BD38</f>
        <v>7960</v>
      </c>
      <c r="BE40" s="80" t="n">
        <f aca="false">BE37-BE38</f>
        <v>7934</v>
      </c>
      <c r="BF40" s="80" t="n">
        <f aca="false">BF37-BF38</f>
        <v>7908</v>
      </c>
      <c r="BG40" s="80" t="n">
        <f aca="false">BG37-BG38</f>
        <v>7882</v>
      </c>
      <c r="BH40" s="80" t="n">
        <f aca="false">BH37-BH38</f>
        <v>7856</v>
      </c>
      <c r="BI40" s="80" t="n">
        <f aca="false">BI37-BI38</f>
        <v>7829</v>
      </c>
      <c r="BJ40" s="80" t="n">
        <f aca="false">BJ37-BJ38</f>
        <v>7803</v>
      </c>
      <c r="BK40" s="80" t="n">
        <f aca="false">BK37-BK38</f>
        <v>7777</v>
      </c>
      <c r="BL40" s="80" t="n">
        <f aca="false">BL37-BL38</f>
        <v>7751</v>
      </c>
      <c r="BM40" s="80" t="n">
        <f aca="false">BM37-BM38</f>
        <v>7725</v>
      </c>
      <c r="BN40" s="80" t="n">
        <f aca="false">BN37-BN38</f>
        <v>7699</v>
      </c>
      <c r="BO40" s="80" t="n">
        <f aca="false">BO37-BO38</f>
        <v>7673</v>
      </c>
      <c r="CA40" s="72" t="str">
        <f aca="false">A40</f>
        <v>6</v>
      </c>
      <c r="CB40" s="70" t="str">
        <f aca="false">B40</f>
        <v>      Net Plant</v>
      </c>
      <c r="CC40" s="80" t="n">
        <f aca="false">CC37-CC38</f>
        <v>1293041</v>
      </c>
      <c r="CD40" s="80" t="n">
        <f aca="false">CD37-CD38</f>
        <v>1335103</v>
      </c>
      <c r="CE40" s="80" t="n">
        <f aca="false">CE37-CE38</f>
        <v>1341556</v>
      </c>
      <c r="CF40" s="80" t="n">
        <f aca="false">CF37-CF38</f>
        <v>1340239</v>
      </c>
      <c r="CG40" s="80" t="n">
        <f aca="false">CG37-CG38</f>
        <v>1331560</v>
      </c>
      <c r="CH40" s="80" t="n">
        <f aca="false">CH37-CH38</f>
        <v>1325193</v>
      </c>
      <c r="CI40" s="80" t="n">
        <f aca="false">CI37-CI38</f>
        <v>1317535</v>
      </c>
      <c r="CJ40" s="80" t="n">
        <f aca="false">CJ37-CJ38</f>
        <v>1316307</v>
      </c>
      <c r="CK40" s="80" t="n">
        <f aca="false">CK37-CK38</f>
        <v>1321029</v>
      </c>
      <c r="CL40" s="80" t="n">
        <f aca="false">CL37-CL38</f>
        <v>1328610</v>
      </c>
      <c r="CM40" s="80" t="n">
        <f aca="false">CM37-CM38</f>
        <v>1332452</v>
      </c>
      <c r="CN40" s="80" t="n">
        <f aca="false">CN37-CN38</f>
        <v>1337542</v>
      </c>
      <c r="CO40" s="80" t="n">
        <f aca="false">CO37-CO38</f>
        <v>1338193</v>
      </c>
      <c r="CP40" s="52"/>
    </row>
    <row r="41" customFormat="false" ht="12.75" hidden="false" customHeight="false" outlineLevel="0" collapsed="false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BA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</row>
    <row r="42" customFormat="false" ht="12.75" hidden="false" customHeight="false" outlineLevel="0" collapsed="false">
      <c r="A42" s="52"/>
      <c r="B42" s="52"/>
      <c r="C42" s="52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52"/>
      <c r="AQ42" s="71"/>
      <c r="AR42" s="52"/>
      <c r="BA42" s="52"/>
      <c r="BC42" s="52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CA42" s="52"/>
      <c r="CB42" s="52"/>
      <c r="CC42" s="52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52"/>
    </row>
    <row r="43" customFormat="false" ht="12.75" hidden="false" customHeight="false" outlineLevel="0" collapsed="false">
      <c r="A43" s="49"/>
      <c r="B43" s="70" t="s">
        <v>325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49"/>
      <c r="AB43" s="70" t="str">
        <f aca="false">B43</f>
        <v>DEFERRED CHARGES</v>
      </c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52"/>
      <c r="AQ43" s="71"/>
      <c r="AR43" s="52"/>
      <c r="BA43" s="49"/>
      <c r="BB43" s="70" t="str">
        <f aca="false">B43</f>
        <v>DEFERRED CHARGES</v>
      </c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CA43" s="49"/>
      <c r="CB43" s="70" t="str">
        <f aca="false">B43</f>
        <v>DEFERRED CHARGES</v>
      </c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52"/>
    </row>
    <row r="44" customFormat="false" ht="12.75" hidden="false" customHeight="false" outlineLevel="0" collapsed="false">
      <c r="A44" s="72" t="s">
        <v>314</v>
      </c>
      <c r="B44" s="73" t="s">
        <v>326</v>
      </c>
      <c r="C44" s="79" t="n">
        <f aca="false">BACKUP!C184-C23</f>
        <v>0</v>
      </c>
      <c r="D44" s="79" t="n">
        <f aca="false">BACKUP!D184-D23</f>
        <v>0</v>
      </c>
      <c r="E44" s="79" t="n">
        <f aca="false">BACKUP!E184-E23</f>
        <v>0</v>
      </c>
      <c r="F44" s="79" t="n">
        <f aca="false">BACKUP!F184-F23</f>
        <v>0</v>
      </c>
      <c r="G44" s="79" t="n">
        <f aca="false">BACKUP!G184-G23</f>
        <v>0</v>
      </c>
      <c r="H44" s="79" t="n">
        <f aca="false">BACKUP!H184-H23</f>
        <v>0</v>
      </c>
      <c r="I44" s="79" t="n">
        <f aca="false">BACKUP!I184-I23</f>
        <v>0</v>
      </c>
      <c r="J44" s="79" t="n">
        <f aca="false">BACKUP!J184-J23</f>
        <v>0</v>
      </c>
      <c r="K44" s="79" t="n">
        <f aca="false">BACKUP!K184-K23</f>
        <v>0</v>
      </c>
      <c r="L44" s="79" t="n">
        <f aca="false">BACKUP!L184-L23</f>
        <v>0</v>
      </c>
      <c r="M44" s="79" t="n">
        <f aca="false">BACKUP!M184-M23</f>
        <v>0</v>
      </c>
      <c r="N44" s="79" t="n">
        <f aca="false">BACKUP!N184-N23</f>
        <v>0</v>
      </c>
      <c r="O44" s="79" t="n">
        <f aca="false">BACKUP!O184-O23</f>
        <v>0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72" t="str">
        <f aca="false">A44</f>
        <v>8</v>
      </c>
      <c r="AB44" s="73" t="str">
        <f aca="false">B44</f>
        <v>   Deferred Contract Reformation Costs </v>
      </c>
      <c r="AC44" s="74" t="n">
        <v>0</v>
      </c>
      <c r="AD44" s="74" t="n">
        <v>0</v>
      </c>
      <c r="AE44" s="74" t="n">
        <v>0</v>
      </c>
      <c r="AF44" s="74" t="n">
        <v>0</v>
      </c>
      <c r="AG44" s="74" t="n">
        <v>0</v>
      </c>
      <c r="AH44" s="74" t="n">
        <v>0</v>
      </c>
      <c r="AI44" s="74" t="n">
        <v>0</v>
      </c>
      <c r="AJ44" s="74" t="n">
        <v>0</v>
      </c>
      <c r="AK44" s="74" t="n">
        <v>0</v>
      </c>
      <c r="AL44" s="74" t="n">
        <v>0</v>
      </c>
      <c r="AM44" s="74" t="n">
        <v>0</v>
      </c>
      <c r="AN44" s="74" t="n">
        <v>0</v>
      </c>
      <c r="AO44" s="74" t="n">
        <v>0</v>
      </c>
      <c r="AP44" s="52"/>
      <c r="AQ44" s="71"/>
      <c r="AR44" s="52"/>
      <c r="BA44" s="72" t="str">
        <f aca="false">AA44</f>
        <v>8</v>
      </c>
      <c r="BB44" s="73" t="str">
        <f aca="false">B44</f>
        <v>   Deferred Contract Reformation Costs </v>
      </c>
      <c r="BC44" s="74" t="n">
        <v>0</v>
      </c>
      <c r="BD44" s="74" t="n">
        <v>0</v>
      </c>
      <c r="BE44" s="74" t="n">
        <v>0</v>
      </c>
      <c r="BF44" s="74" t="n">
        <v>0</v>
      </c>
      <c r="BG44" s="74" t="n">
        <v>0</v>
      </c>
      <c r="BH44" s="74" t="n">
        <v>0</v>
      </c>
      <c r="BI44" s="74" t="n">
        <v>0</v>
      </c>
      <c r="BJ44" s="74" t="n">
        <v>0</v>
      </c>
      <c r="BK44" s="74" t="n">
        <v>0</v>
      </c>
      <c r="BL44" s="74" t="n">
        <v>0</v>
      </c>
      <c r="BM44" s="74" t="n">
        <v>0</v>
      </c>
      <c r="BN44" s="74" t="n">
        <v>0</v>
      </c>
      <c r="BO44" s="74" t="n">
        <v>0</v>
      </c>
      <c r="CA44" s="72" t="str">
        <f aca="false">A44</f>
        <v>8</v>
      </c>
      <c r="CB44" s="73" t="str">
        <f aca="false">B44</f>
        <v>   Deferred Contract Reformation Costs </v>
      </c>
      <c r="CC44" s="75" t="n">
        <f aca="false">C44-AC44-BC44</f>
        <v>0</v>
      </c>
      <c r="CD44" s="75" t="n">
        <f aca="false">D44-AD44-BD44</f>
        <v>0</v>
      </c>
      <c r="CE44" s="75" t="n">
        <f aca="false">E44-AE44-BE44</f>
        <v>0</v>
      </c>
      <c r="CF44" s="75" t="n">
        <f aca="false">F44-AF44-BF44</f>
        <v>0</v>
      </c>
      <c r="CG44" s="75" t="n">
        <f aca="false">G44-AG44-BG44</f>
        <v>0</v>
      </c>
      <c r="CH44" s="75" t="n">
        <f aca="false">H44-AH44-BH44</f>
        <v>0</v>
      </c>
      <c r="CI44" s="75" t="n">
        <f aca="false">I44-AI44-BI44</f>
        <v>0</v>
      </c>
      <c r="CJ44" s="75" t="n">
        <f aca="false">J44-AJ44-BJ44</f>
        <v>0</v>
      </c>
      <c r="CK44" s="75" t="n">
        <f aca="false">K44-AK44-BK44</f>
        <v>0</v>
      </c>
      <c r="CL44" s="75" t="n">
        <f aca="false">L44-AL44-BL44</f>
        <v>0</v>
      </c>
      <c r="CM44" s="75" t="n">
        <f aca="false">M44-AM44-BM44</f>
        <v>0</v>
      </c>
      <c r="CN44" s="75" t="n">
        <f aca="false">N44-AN44-BN44</f>
        <v>0</v>
      </c>
      <c r="CO44" s="75" t="n">
        <f aca="false">O44-AO44-BO44</f>
        <v>0</v>
      </c>
      <c r="CP44" s="52"/>
    </row>
    <row r="45" customFormat="false" ht="12.75" hidden="false" customHeight="false" outlineLevel="0" collapsed="false">
      <c r="A45" s="72" t="s">
        <v>327</v>
      </c>
      <c r="B45" s="73" t="s">
        <v>328</v>
      </c>
      <c r="C45" s="71" t="n">
        <f aca="false">BACKUP!C247</f>
        <v>205563</v>
      </c>
      <c r="D45" s="71" t="n">
        <f aca="false">BACKUP!D247</f>
        <v>208335</v>
      </c>
      <c r="E45" s="71" t="n">
        <f aca="false">BACKUP!E247</f>
        <v>204840</v>
      </c>
      <c r="F45" s="71" t="n">
        <f aca="false">BACKUP!F247</f>
        <v>204494</v>
      </c>
      <c r="G45" s="71" t="n">
        <f aca="false">BACKUP!G247</f>
        <v>202992</v>
      </c>
      <c r="H45" s="71" t="n">
        <f aca="false">BACKUP!H247</f>
        <v>198687</v>
      </c>
      <c r="I45" s="71" t="n">
        <f aca="false">BACKUP!I247</f>
        <v>195422</v>
      </c>
      <c r="J45" s="71" t="n">
        <f aca="false">BACKUP!J247</f>
        <v>192000</v>
      </c>
      <c r="K45" s="71" t="n">
        <f aca="false">BACKUP!K247</f>
        <v>191659</v>
      </c>
      <c r="L45" s="71" t="n">
        <f aca="false">BACKUP!L247</f>
        <v>191241</v>
      </c>
      <c r="M45" s="71" t="n">
        <f aca="false">BACKUP!M247</f>
        <v>190924</v>
      </c>
      <c r="N45" s="71" t="n">
        <f aca="false">BACKUP!N247</f>
        <v>190006</v>
      </c>
      <c r="O45" s="71" t="n">
        <f aca="false">BACKUP!O247</f>
        <v>199792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72" t="str">
        <f aca="false">A45</f>
        <v>7</v>
      </c>
      <c r="AB45" s="73" t="str">
        <f aca="false">B45</f>
        <v>   Other Regulatory Assets</v>
      </c>
      <c r="AC45" s="74" t="n">
        <v>0</v>
      </c>
      <c r="AD45" s="74" t="n">
        <v>0</v>
      </c>
      <c r="AE45" s="74" t="n">
        <v>0</v>
      </c>
      <c r="AF45" s="74" t="n">
        <v>0</v>
      </c>
      <c r="AG45" s="74" t="n">
        <v>0</v>
      </c>
      <c r="AH45" s="74" t="n">
        <v>0</v>
      </c>
      <c r="AI45" s="74" t="n">
        <v>0</v>
      </c>
      <c r="AJ45" s="74" t="n">
        <v>0</v>
      </c>
      <c r="AK45" s="74" t="n">
        <v>0</v>
      </c>
      <c r="AL45" s="74" t="n">
        <v>0</v>
      </c>
      <c r="AM45" s="74" t="n">
        <v>0</v>
      </c>
      <c r="AN45" s="74" t="n">
        <v>0</v>
      </c>
      <c r="AO45" s="74" t="n">
        <v>0</v>
      </c>
      <c r="AP45" s="52"/>
      <c r="AQ45" s="52"/>
      <c r="AR45" s="52"/>
      <c r="BA45" s="72" t="str">
        <f aca="false">AA45</f>
        <v>7</v>
      </c>
      <c r="BB45" s="73" t="str">
        <f aca="false">B45</f>
        <v>   Other Regulatory Assets</v>
      </c>
      <c r="BC45" s="74" t="n">
        <v>0</v>
      </c>
      <c r="BD45" s="74" t="n">
        <v>0</v>
      </c>
      <c r="BE45" s="74" t="n">
        <v>0</v>
      </c>
      <c r="BF45" s="74" t="n">
        <v>0</v>
      </c>
      <c r="BG45" s="74" t="n">
        <v>0</v>
      </c>
      <c r="BH45" s="74" t="n">
        <v>0</v>
      </c>
      <c r="BI45" s="74" t="n">
        <v>0</v>
      </c>
      <c r="BJ45" s="74" t="n">
        <v>0</v>
      </c>
      <c r="BK45" s="74" t="n">
        <v>0</v>
      </c>
      <c r="BL45" s="74" t="n">
        <v>0</v>
      </c>
      <c r="BM45" s="74" t="n">
        <v>0</v>
      </c>
      <c r="BN45" s="74" t="n">
        <v>0</v>
      </c>
      <c r="BO45" s="74" t="n">
        <v>0</v>
      </c>
      <c r="CA45" s="72" t="str">
        <f aca="false">A45</f>
        <v>7</v>
      </c>
      <c r="CB45" s="73" t="str">
        <f aca="false">B45</f>
        <v>   Other Regulatory Assets</v>
      </c>
      <c r="CC45" s="75" t="n">
        <f aca="false">C45-AC45-BC45</f>
        <v>205563</v>
      </c>
      <c r="CD45" s="75" t="n">
        <f aca="false">D45-AD45-BD45</f>
        <v>208335</v>
      </c>
      <c r="CE45" s="75" t="n">
        <f aca="false">E45-AE45-BE45</f>
        <v>204840</v>
      </c>
      <c r="CF45" s="75" t="n">
        <f aca="false">F45-AF45-BF45</f>
        <v>204494</v>
      </c>
      <c r="CG45" s="75" t="n">
        <f aca="false">G45-AG45-BG45</f>
        <v>202992</v>
      </c>
      <c r="CH45" s="75" t="n">
        <f aca="false">H45-AH45-BH45</f>
        <v>198687</v>
      </c>
      <c r="CI45" s="75" t="n">
        <f aca="false">I45-AI45-BI45</f>
        <v>195422</v>
      </c>
      <c r="CJ45" s="75" t="n">
        <f aca="false">J45-AJ45-BJ45</f>
        <v>192000</v>
      </c>
      <c r="CK45" s="75" t="n">
        <f aca="false">K45-AK45-BK45</f>
        <v>191659</v>
      </c>
      <c r="CL45" s="75" t="n">
        <f aca="false">L45-AL45-BL45</f>
        <v>191241</v>
      </c>
      <c r="CM45" s="75" t="n">
        <f aca="false">M45-AM45-BM45</f>
        <v>190924</v>
      </c>
      <c r="CN45" s="75" t="n">
        <f aca="false">N45-AN45-BN45</f>
        <v>190006</v>
      </c>
      <c r="CO45" s="75" t="n">
        <f aca="false">O45-AO45-BO45</f>
        <v>199792</v>
      </c>
      <c r="CP45" s="52"/>
    </row>
    <row r="46" customFormat="false" ht="12.75" hidden="false" customHeight="false" outlineLevel="0" collapsed="false">
      <c r="A46" s="72" t="s">
        <v>329</v>
      </c>
      <c r="B46" s="73" t="s">
        <v>330</v>
      </c>
      <c r="C46" s="71" t="n">
        <f aca="false">BACKUP!C192</f>
        <v>0</v>
      </c>
      <c r="D46" s="71" t="n">
        <f aca="false">BACKUP!D192</f>
        <v>0</v>
      </c>
      <c r="E46" s="71" t="n">
        <f aca="false">BACKUP!E192</f>
        <v>0</v>
      </c>
      <c r="F46" s="71" t="n">
        <f aca="false">BACKUP!F192</f>
        <v>0</v>
      </c>
      <c r="G46" s="71" t="n">
        <f aca="false">BACKUP!G192</f>
        <v>0</v>
      </c>
      <c r="H46" s="71" t="n">
        <f aca="false">BACKUP!H192</f>
        <v>0</v>
      </c>
      <c r="I46" s="71" t="n">
        <f aca="false">BACKUP!I192</f>
        <v>0</v>
      </c>
      <c r="J46" s="71" t="n">
        <f aca="false">BACKUP!J192</f>
        <v>0</v>
      </c>
      <c r="K46" s="71" t="n">
        <f aca="false">BACKUP!K192</f>
        <v>0</v>
      </c>
      <c r="L46" s="71" t="n">
        <f aca="false">BACKUP!L192</f>
        <v>0</v>
      </c>
      <c r="M46" s="71" t="n">
        <f aca="false">BACKUP!M192</f>
        <v>0</v>
      </c>
      <c r="N46" s="71" t="n">
        <f aca="false">BACKUP!N192</f>
        <v>0</v>
      </c>
      <c r="O46" s="71" t="n">
        <f aca="false">BACKUP!O192</f>
        <v>0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72" t="str">
        <f aca="false">A46</f>
        <v>9</v>
      </c>
      <c r="AB46" s="73" t="str">
        <f aca="false">B46</f>
        <v>   Deferred Severance / Relocation Charges</v>
      </c>
      <c r="AC46" s="74" t="n">
        <v>0</v>
      </c>
      <c r="AD46" s="74" t="n">
        <v>0</v>
      </c>
      <c r="AE46" s="74" t="n">
        <v>0</v>
      </c>
      <c r="AF46" s="74" t="n">
        <v>0</v>
      </c>
      <c r="AG46" s="74" t="n">
        <v>0</v>
      </c>
      <c r="AH46" s="74" t="n">
        <v>0</v>
      </c>
      <c r="AI46" s="74" t="n">
        <v>0</v>
      </c>
      <c r="AJ46" s="74" t="n">
        <v>0</v>
      </c>
      <c r="AK46" s="74" t="n">
        <v>0</v>
      </c>
      <c r="AL46" s="74" t="n">
        <v>0</v>
      </c>
      <c r="AM46" s="74" t="n">
        <v>0</v>
      </c>
      <c r="AN46" s="74" t="n">
        <v>0</v>
      </c>
      <c r="AO46" s="74" t="n">
        <v>0</v>
      </c>
      <c r="AP46" s="52"/>
      <c r="AQ46" s="71"/>
      <c r="AR46" s="52"/>
      <c r="BA46" s="72" t="str">
        <f aca="false">AA46</f>
        <v>9</v>
      </c>
      <c r="BB46" s="73" t="str">
        <f aca="false">B46</f>
        <v>   Deferred Severance / Relocation Charges</v>
      </c>
      <c r="BC46" s="74" t="n">
        <v>0</v>
      </c>
      <c r="BD46" s="74" t="n">
        <v>0</v>
      </c>
      <c r="BE46" s="74" t="n">
        <v>0</v>
      </c>
      <c r="BF46" s="74" t="n">
        <v>0</v>
      </c>
      <c r="BG46" s="74" t="n">
        <v>0</v>
      </c>
      <c r="BH46" s="74" t="n">
        <v>0</v>
      </c>
      <c r="BI46" s="74" t="n">
        <v>0</v>
      </c>
      <c r="BJ46" s="74" t="n">
        <v>0</v>
      </c>
      <c r="BK46" s="74" t="n">
        <v>0</v>
      </c>
      <c r="BL46" s="74" t="n">
        <v>0</v>
      </c>
      <c r="BM46" s="74" t="n">
        <v>0</v>
      </c>
      <c r="BN46" s="74" t="n">
        <v>0</v>
      </c>
      <c r="BO46" s="74" t="n">
        <v>0</v>
      </c>
      <c r="CA46" s="72" t="str">
        <f aca="false">A46</f>
        <v>9</v>
      </c>
      <c r="CB46" s="73" t="str">
        <f aca="false">B46</f>
        <v>   Deferred Severance / Relocation Charges</v>
      </c>
      <c r="CC46" s="75" t="n">
        <f aca="false">C46-AC46-BC46</f>
        <v>0</v>
      </c>
      <c r="CD46" s="75" t="n">
        <f aca="false">D46-AD46-BD46</f>
        <v>0</v>
      </c>
      <c r="CE46" s="75" t="n">
        <f aca="false">E46-AE46-BE46</f>
        <v>0</v>
      </c>
      <c r="CF46" s="75" t="n">
        <f aca="false">F46-AF46-BF46</f>
        <v>0</v>
      </c>
      <c r="CG46" s="75" t="n">
        <f aca="false">G46-AG46-BG46</f>
        <v>0</v>
      </c>
      <c r="CH46" s="75" t="n">
        <f aca="false">H46-AH46-BH46</f>
        <v>0</v>
      </c>
      <c r="CI46" s="75" t="n">
        <f aca="false">I46-AI46-BI46</f>
        <v>0</v>
      </c>
      <c r="CJ46" s="75" t="n">
        <f aca="false">J46-AJ46-BJ46</f>
        <v>0</v>
      </c>
      <c r="CK46" s="75" t="n">
        <f aca="false">K46-AK46-BK46</f>
        <v>0</v>
      </c>
      <c r="CL46" s="75" t="n">
        <f aca="false">L46-AL46-BL46</f>
        <v>0</v>
      </c>
      <c r="CM46" s="75" t="n">
        <f aca="false">M46-AM46-BM46</f>
        <v>0</v>
      </c>
      <c r="CN46" s="75" t="n">
        <f aca="false">N46-AN46-BN46</f>
        <v>0</v>
      </c>
      <c r="CO46" s="75" t="n">
        <f aca="false">O46-AO46-BO46</f>
        <v>0</v>
      </c>
      <c r="CP46" s="52"/>
    </row>
    <row r="47" customFormat="false" ht="12.75" hidden="false" customHeight="false" outlineLevel="0" collapsed="false">
      <c r="A47" s="72" t="s">
        <v>329</v>
      </c>
      <c r="B47" s="73" t="s">
        <v>41</v>
      </c>
      <c r="C47" s="80" t="n">
        <f aca="false">BACKUP!C268</f>
        <v>9150</v>
      </c>
      <c r="D47" s="80" t="n">
        <f aca="false">BACKUP!D268</f>
        <v>8391</v>
      </c>
      <c r="E47" s="80" t="n">
        <f aca="false">BACKUP!E268</f>
        <v>10015</v>
      </c>
      <c r="F47" s="80" t="n">
        <f aca="false">BACKUP!F268</f>
        <v>9127</v>
      </c>
      <c r="G47" s="80" t="n">
        <f aca="false">BACKUP!G268</f>
        <v>9335</v>
      </c>
      <c r="H47" s="80" t="n">
        <f aca="false">BACKUP!H268</f>
        <v>9572</v>
      </c>
      <c r="I47" s="80" t="n">
        <f aca="false">BACKUP!I268</f>
        <v>10257</v>
      </c>
      <c r="J47" s="80" t="n">
        <f aca="false">BACKUP!J268</f>
        <v>10958</v>
      </c>
      <c r="K47" s="80" t="n">
        <f aca="false">BACKUP!K268</f>
        <v>10960</v>
      </c>
      <c r="L47" s="80" t="n">
        <f aca="false">BACKUP!L268</f>
        <v>10959</v>
      </c>
      <c r="M47" s="80" t="n">
        <f aca="false">BACKUP!M268</f>
        <v>10960</v>
      </c>
      <c r="N47" s="80" t="n">
        <f aca="false">BACKUP!N268</f>
        <v>10889</v>
      </c>
      <c r="O47" s="80" t="n">
        <f aca="false">BACKUP!O268</f>
        <v>10121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72" t="str">
        <f aca="false">A47</f>
        <v>9</v>
      </c>
      <c r="AB47" s="73" t="str">
        <f aca="false">B47</f>
        <v>   Other</v>
      </c>
      <c r="AC47" s="81" t="n">
        <v>0</v>
      </c>
      <c r="AD47" s="81" t="n">
        <v>0</v>
      </c>
      <c r="AE47" s="81" t="n">
        <v>0</v>
      </c>
      <c r="AF47" s="81" t="n">
        <v>0</v>
      </c>
      <c r="AG47" s="81" t="n">
        <v>0</v>
      </c>
      <c r="AH47" s="81" t="n">
        <v>0</v>
      </c>
      <c r="AI47" s="81" t="n">
        <v>0</v>
      </c>
      <c r="AJ47" s="81" t="n">
        <v>0</v>
      </c>
      <c r="AK47" s="81" t="n">
        <v>0</v>
      </c>
      <c r="AL47" s="81" t="n">
        <v>0</v>
      </c>
      <c r="AM47" s="81" t="n">
        <v>0</v>
      </c>
      <c r="AN47" s="81" t="n">
        <v>0</v>
      </c>
      <c r="AO47" s="81" t="n">
        <v>0</v>
      </c>
      <c r="AP47" s="52"/>
      <c r="AQ47" s="71"/>
      <c r="AR47" s="52"/>
      <c r="BA47" s="72" t="str">
        <f aca="false">AA47</f>
        <v>9</v>
      </c>
      <c r="BB47" s="73" t="str">
        <f aca="false">B47</f>
        <v>   Other</v>
      </c>
      <c r="BC47" s="81" t="n">
        <v>0</v>
      </c>
      <c r="BD47" s="81" t="n">
        <v>0</v>
      </c>
      <c r="BE47" s="81" t="n">
        <v>0</v>
      </c>
      <c r="BF47" s="81" t="n">
        <v>0</v>
      </c>
      <c r="BG47" s="81" t="n">
        <v>0</v>
      </c>
      <c r="BH47" s="81" t="n">
        <v>0</v>
      </c>
      <c r="BI47" s="81" t="n">
        <v>0</v>
      </c>
      <c r="BJ47" s="81" t="n">
        <v>0</v>
      </c>
      <c r="BK47" s="81" t="n">
        <v>0</v>
      </c>
      <c r="BL47" s="81" t="n">
        <v>0</v>
      </c>
      <c r="BM47" s="81" t="n">
        <v>0</v>
      </c>
      <c r="BN47" s="81" t="n">
        <v>0</v>
      </c>
      <c r="BO47" s="81" t="n">
        <v>0</v>
      </c>
      <c r="CA47" s="72" t="str">
        <f aca="false">A47</f>
        <v>9</v>
      </c>
      <c r="CB47" s="73" t="str">
        <f aca="false">B47</f>
        <v>   Other</v>
      </c>
      <c r="CC47" s="82" t="n">
        <f aca="false">C47-AC47-BC47</f>
        <v>9150</v>
      </c>
      <c r="CD47" s="82" t="n">
        <f aca="false">D47-AD47-BD47</f>
        <v>8391</v>
      </c>
      <c r="CE47" s="82" t="n">
        <f aca="false">E47-AE47-BE47</f>
        <v>10015</v>
      </c>
      <c r="CF47" s="82" t="n">
        <f aca="false">F47-AF47-BF47</f>
        <v>9127</v>
      </c>
      <c r="CG47" s="82" t="n">
        <f aca="false">G47-AG47-BG47</f>
        <v>9335</v>
      </c>
      <c r="CH47" s="82" t="n">
        <f aca="false">H47-AH47-BH47</f>
        <v>9572</v>
      </c>
      <c r="CI47" s="82" t="n">
        <f aca="false">I47-AI47-BI47</f>
        <v>10257</v>
      </c>
      <c r="CJ47" s="82" t="n">
        <f aca="false">J47-AJ47-BJ47</f>
        <v>10958</v>
      </c>
      <c r="CK47" s="82" t="n">
        <f aca="false">K47-AK47-BK47</f>
        <v>10960</v>
      </c>
      <c r="CL47" s="82" t="n">
        <f aca="false">L47-AL47-BL47</f>
        <v>10959</v>
      </c>
      <c r="CM47" s="82" t="n">
        <f aca="false">M47-AM47-BM47</f>
        <v>10960</v>
      </c>
      <c r="CN47" s="82" t="n">
        <f aca="false">N47-AN47-BN47</f>
        <v>10889</v>
      </c>
      <c r="CO47" s="82" t="n">
        <f aca="false">O47-AO47-BO47</f>
        <v>10121</v>
      </c>
      <c r="CP47" s="52"/>
    </row>
    <row r="48" customFormat="false" ht="3.95" hidden="false" customHeight="true" outlineLevel="0" collapsed="false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BA48" s="52"/>
      <c r="BB48" s="73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</row>
    <row r="49" customFormat="false" ht="12.75" hidden="false" customHeight="false" outlineLevel="0" collapsed="false">
      <c r="A49" s="49"/>
      <c r="B49" s="70" t="s">
        <v>331</v>
      </c>
      <c r="C49" s="80" t="n">
        <f aca="false">SUM(C44:C48)</f>
        <v>214713</v>
      </c>
      <c r="D49" s="80" t="n">
        <f aca="false">SUM(D44:D48)</f>
        <v>216726</v>
      </c>
      <c r="E49" s="80" t="n">
        <f aca="false">SUM(E44:E48)</f>
        <v>214855</v>
      </c>
      <c r="F49" s="80" t="n">
        <f aca="false">SUM(F44:F48)</f>
        <v>213621</v>
      </c>
      <c r="G49" s="80" t="n">
        <f aca="false">SUM(G44:G48)</f>
        <v>212327</v>
      </c>
      <c r="H49" s="80" t="n">
        <f aca="false">SUM(H44:H48)</f>
        <v>208259</v>
      </c>
      <c r="I49" s="80" t="n">
        <f aca="false">SUM(I44:I48)</f>
        <v>205679</v>
      </c>
      <c r="J49" s="80" t="n">
        <f aca="false">SUM(J44:J48)</f>
        <v>202958</v>
      </c>
      <c r="K49" s="80" t="n">
        <f aca="false">SUM(K44:K48)</f>
        <v>202619</v>
      </c>
      <c r="L49" s="80" t="n">
        <f aca="false">SUM(L44:L48)</f>
        <v>202200</v>
      </c>
      <c r="M49" s="80" t="n">
        <f aca="false">SUM(M44:M48)</f>
        <v>201884</v>
      </c>
      <c r="N49" s="80" t="n">
        <f aca="false">SUM(N44:N48)</f>
        <v>200895</v>
      </c>
      <c r="O49" s="80" t="n">
        <f aca="false">SUM(O44:O48)</f>
        <v>209913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49"/>
      <c r="AB49" s="70" t="str">
        <f aca="false">B49</f>
        <v>      Total Deferred Charges</v>
      </c>
      <c r="AC49" s="80" t="n">
        <f aca="false">SUM(AC44:AC48)</f>
        <v>0</v>
      </c>
      <c r="AD49" s="80" t="n">
        <f aca="false">SUM(AD44:AD48)</f>
        <v>0</v>
      </c>
      <c r="AE49" s="80" t="n">
        <f aca="false">SUM(AE44:AE48)</f>
        <v>0</v>
      </c>
      <c r="AF49" s="80" t="n">
        <f aca="false">SUM(AF44:AF48)</f>
        <v>0</v>
      </c>
      <c r="AG49" s="80" t="n">
        <f aca="false">SUM(AG44:AG48)</f>
        <v>0</v>
      </c>
      <c r="AH49" s="80" t="n">
        <f aca="false">SUM(AH44:AH48)</f>
        <v>0</v>
      </c>
      <c r="AI49" s="80" t="n">
        <f aca="false">SUM(AI44:AI48)</f>
        <v>0</v>
      </c>
      <c r="AJ49" s="80" t="n">
        <f aca="false">SUM(AJ44:AJ48)</f>
        <v>0</v>
      </c>
      <c r="AK49" s="80" t="n">
        <f aca="false">SUM(AK44:AK48)</f>
        <v>0</v>
      </c>
      <c r="AL49" s="80" t="n">
        <f aca="false">SUM(AL44:AL48)</f>
        <v>0</v>
      </c>
      <c r="AM49" s="80" t="n">
        <f aca="false">SUM(AM44:AM48)</f>
        <v>0</v>
      </c>
      <c r="AN49" s="80" t="n">
        <f aca="false">SUM(AN44:AN48)</f>
        <v>0</v>
      </c>
      <c r="AO49" s="80" t="n">
        <f aca="false">SUM(AO44:AO48)</f>
        <v>0</v>
      </c>
      <c r="AP49" s="52"/>
      <c r="AQ49" s="71"/>
      <c r="AR49" s="52"/>
      <c r="BA49" s="49"/>
      <c r="BB49" s="70" t="str">
        <f aca="false">B49</f>
        <v>      Total Deferred Charges</v>
      </c>
      <c r="BC49" s="80" t="n">
        <f aca="false">SUM(BC44:BC48)</f>
        <v>0</v>
      </c>
      <c r="BD49" s="80" t="n">
        <f aca="false">SUM(BD44:BD48)</f>
        <v>0</v>
      </c>
      <c r="BE49" s="80" t="n">
        <f aca="false">SUM(BE44:BE48)</f>
        <v>0</v>
      </c>
      <c r="BF49" s="80" t="n">
        <f aca="false">SUM(BF44:BF48)</f>
        <v>0</v>
      </c>
      <c r="BG49" s="80" t="n">
        <f aca="false">SUM(BG44:BG48)</f>
        <v>0</v>
      </c>
      <c r="BH49" s="80" t="n">
        <f aca="false">SUM(BH44:BH48)</f>
        <v>0</v>
      </c>
      <c r="BI49" s="80" t="n">
        <f aca="false">SUM(BI44:BI48)</f>
        <v>0</v>
      </c>
      <c r="BJ49" s="80" t="n">
        <f aca="false">SUM(BJ44:BJ48)</f>
        <v>0</v>
      </c>
      <c r="BK49" s="80" t="n">
        <f aca="false">SUM(BK44:BK48)</f>
        <v>0</v>
      </c>
      <c r="BL49" s="80" t="n">
        <f aca="false">SUM(BL44:BL48)</f>
        <v>0</v>
      </c>
      <c r="BM49" s="80" t="n">
        <f aca="false">SUM(BM44:BM48)</f>
        <v>0</v>
      </c>
      <c r="BN49" s="80" t="n">
        <f aca="false">SUM(BN44:BN48)</f>
        <v>0</v>
      </c>
      <c r="BO49" s="80" t="n">
        <f aca="false">SUM(BO44:BO48)</f>
        <v>0</v>
      </c>
      <c r="CA49" s="49"/>
      <c r="CB49" s="70" t="str">
        <f aca="false">B49</f>
        <v>      Total Deferred Charges</v>
      </c>
      <c r="CC49" s="80" t="n">
        <f aca="false">SUM(CC44:CC48)</f>
        <v>214713</v>
      </c>
      <c r="CD49" s="80" t="n">
        <f aca="false">SUM(CD44:CD48)</f>
        <v>216726</v>
      </c>
      <c r="CE49" s="80" t="n">
        <f aca="false">SUM(CE44:CE48)</f>
        <v>214855</v>
      </c>
      <c r="CF49" s="80" t="n">
        <f aca="false">SUM(CF44:CF48)</f>
        <v>213621</v>
      </c>
      <c r="CG49" s="80" t="n">
        <f aca="false">SUM(CG44:CG48)</f>
        <v>212327</v>
      </c>
      <c r="CH49" s="80" t="n">
        <f aca="false">SUM(CH44:CH48)</f>
        <v>208259</v>
      </c>
      <c r="CI49" s="80" t="n">
        <f aca="false">SUM(CI44:CI48)</f>
        <v>205679</v>
      </c>
      <c r="CJ49" s="80" t="n">
        <f aca="false">SUM(CJ44:CJ48)</f>
        <v>202958</v>
      </c>
      <c r="CK49" s="80" t="n">
        <f aca="false">SUM(CK44:CK48)</f>
        <v>202619</v>
      </c>
      <c r="CL49" s="80" t="n">
        <f aca="false">SUM(CL44:CL48)</f>
        <v>202200</v>
      </c>
      <c r="CM49" s="80" t="n">
        <f aca="false">SUM(CM44:CM48)</f>
        <v>201884</v>
      </c>
      <c r="CN49" s="80" t="n">
        <f aca="false">SUM(CN44:CN48)</f>
        <v>200895</v>
      </c>
      <c r="CO49" s="80" t="n">
        <f aca="false">SUM(CO44:CO48)</f>
        <v>209913</v>
      </c>
      <c r="CP49" s="52"/>
    </row>
    <row r="50" customFormat="false" ht="12.75" hidden="false" customHeight="false" outlineLevel="0" collapsed="false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BA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</row>
    <row r="51" customFormat="false" ht="12.75" hidden="false" customHeight="false" outlineLevel="0" collapsed="false">
      <c r="A51" s="52"/>
      <c r="B51" s="52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52"/>
      <c r="AQ51" s="71"/>
      <c r="AR51" s="52"/>
      <c r="BA51" s="52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CA51" s="52"/>
      <c r="CB51" s="52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52"/>
    </row>
    <row r="52" customFormat="false" ht="12.75" hidden="false" customHeight="false" outlineLevel="0" collapsed="false">
      <c r="A52" s="49"/>
      <c r="B52" s="70" t="s">
        <v>332</v>
      </c>
      <c r="C52" s="85" t="n">
        <f aca="false">C26+C34+C40+C49</f>
        <v>2056033</v>
      </c>
      <c r="D52" s="85" t="n">
        <f aca="false">D26+D34+D40+D49</f>
        <v>2144174</v>
      </c>
      <c r="E52" s="85" t="n">
        <f aca="false">E26+E34+E40+E49</f>
        <v>2117619</v>
      </c>
      <c r="F52" s="85" t="n">
        <f aca="false">F26+F34+F40+F49</f>
        <v>2119251</v>
      </c>
      <c r="G52" s="85" t="n">
        <f aca="false">G26+G34+G40+G49</f>
        <v>2139763</v>
      </c>
      <c r="H52" s="85" t="n">
        <f aca="false">H26+H34+H40+H49</f>
        <v>2113806</v>
      </c>
      <c r="I52" s="85" t="n">
        <f aca="false">I26+I34+I40+I49</f>
        <v>2098426</v>
      </c>
      <c r="J52" s="85" t="n">
        <f aca="false">J26+J34+J40+J49</f>
        <v>2085765</v>
      </c>
      <c r="K52" s="85" t="n">
        <f aca="false">K26+K34+K40+K49</f>
        <v>2099792</v>
      </c>
      <c r="L52" s="85" t="n">
        <f aca="false">L26+L34+L40+L49</f>
        <v>2101658</v>
      </c>
      <c r="M52" s="85" t="n">
        <f aca="false">M26+M34+M40+M49</f>
        <v>2088443</v>
      </c>
      <c r="N52" s="85" t="n">
        <f aca="false">N26+N34+N40+N49</f>
        <v>2099313</v>
      </c>
      <c r="O52" s="85" t="n">
        <f aca="false">O26+O34+O40+O49</f>
        <v>2096348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49"/>
      <c r="AB52" s="70" t="str">
        <f aca="false">B52</f>
        <v>            TOTAL ASSETS</v>
      </c>
      <c r="AC52" s="85" t="n">
        <f aca="false">AC26+AC34+AC40+AC49</f>
        <v>74716</v>
      </c>
      <c r="AD52" s="85" t="n">
        <f aca="false">AD26+AD34+AD40+AD49</f>
        <v>74944</v>
      </c>
      <c r="AE52" s="85" t="n">
        <f aca="false">AE26+AE34+AE40+AE49</f>
        <v>75046</v>
      </c>
      <c r="AF52" s="85" t="n">
        <f aca="false">AF26+AF34+AF40+AF49</f>
        <v>70097</v>
      </c>
      <c r="AG52" s="85" t="n">
        <f aca="false">AG26+AG34+AG40+AG49</f>
        <v>70820</v>
      </c>
      <c r="AH52" s="85" t="n">
        <f aca="false">AH26+AH34+AH40+AH49</f>
        <v>70912</v>
      </c>
      <c r="AI52" s="85" t="n">
        <f aca="false">AI26+AI34+AI40+AI49</f>
        <v>71083</v>
      </c>
      <c r="AJ52" s="85" t="n">
        <f aca="false">AJ26+AJ34+AJ40+AJ49</f>
        <v>71188</v>
      </c>
      <c r="AK52" s="85" t="n">
        <f aca="false">AK26+AK34+AK40+AK49</f>
        <v>71250</v>
      </c>
      <c r="AL52" s="85" t="n">
        <f aca="false">AL26+AL34+AL40+AL49</f>
        <v>71346</v>
      </c>
      <c r="AM52" s="85" t="n">
        <f aca="false">AM26+AM34+AM40+AM49</f>
        <v>71399</v>
      </c>
      <c r="AN52" s="85" t="n">
        <f aca="false">AN26+AN34+AN40+AN49</f>
        <v>71455</v>
      </c>
      <c r="AO52" s="85" t="n">
        <f aca="false">AO26+AO34+AO40+AO49</f>
        <v>71442</v>
      </c>
      <c r="AP52" s="52"/>
      <c r="AQ52" s="71"/>
      <c r="AR52" s="52"/>
      <c r="BA52" s="49"/>
      <c r="BB52" s="70" t="str">
        <f aca="false">B52</f>
        <v>            TOTAL ASSETS</v>
      </c>
      <c r="BC52" s="85" t="n">
        <f aca="false">BC26+BC34+BC40+BC49</f>
        <v>8068</v>
      </c>
      <c r="BD52" s="85" t="n">
        <f aca="false">BD26+BD34+BD40+BD49</f>
        <v>8040</v>
      </c>
      <c r="BE52" s="85" t="n">
        <f aca="false">BE26+BE34+BE40+BE49</f>
        <v>8014</v>
      </c>
      <c r="BF52" s="85" t="n">
        <f aca="false">BF26+BF34+BF40+BF49</f>
        <v>7988</v>
      </c>
      <c r="BG52" s="85" t="n">
        <f aca="false">BG26+BG34+BG40+BG49</f>
        <v>7962</v>
      </c>
      <c r="BH52" s="85" t="n">
        <f aca="false">BH26+BH34+BH40+BH49</f>
        <v>7936</v>
      </c>
      <c r="BI52" s="85" t="n">
        <f aca="false">BI26+BI34+BI40+BI49</f>
        <v>7909</v>
      </c>
      <c r="BJ52" s="85" t="n">
        <f aca="false">BJ26+BJ34+BJ40+BJ49</f>
        <v>7883</v>
      </c>
      <c r="BK52" s="85" t="n">
        <f aca="false">BK26+BK34+BK40+BK49</f>
        <v>7857</v>
      </c>
      <c r="BL52" s="85" t="n">
        <f aca="false">BL26+BL34+BL40+BL49</f>
        <v>7831</v>
      </c>
      <c r="BM52" s="85" t="n">
        <f aca="false">BM26+BM34+BM40+BM49</f>
        <v>7805</v>
      </c>
      <c r="BN52" s="85" t="n">
        <f aca="false">BN26+BN34+BN40+BN49</f>
        <v>7779</v>
      </c>
      <c r="BO52" s="85" t="n">
        <f aca="false">BO26+BO34+BO40+BO49</f>
        <v>7753</v>
      </c>
      <c r="CA52" s="49"/>
      <c r="CB52" s="70" t="str">
        <f aca="false">B52</f>
        <v>            TOTAL ASSETS</v>
      </c>
      <c r="CC52" s="85" t="n">
        <f aca="false">CC26+CC34+CC40+CC49</f>
        <v>1973249</v>
      </c>
      <c r="CD52" s="85" t="n">
        <f aca="false">CD26+CD34+CD40+CD49</f>
        <v>2061190</v>
      </c>
      <c r="CE52" s="85" t="n">
        <f aca="false">CE26+CE34+CE40+CE49</f>
        <v>2034559</v>
      </c>
      <c r="CF52" s="85" t="n">
        <f aca="false">CF26+CF34+CF40+CF49</f>
        <v>2041166</v>
      </c>
      <c r="CG52" s="85" t="n">
        <f aca="false">CG26+CG34+CG40+CG49</f>
        <v>2060981</v>
      </c>
      <c r="CH52" s="85" t="n">
        <f aca="false">CH26+CH34+CH40+CH49</f>
        <v>2034958</v>
      </c>
      <c r="CI52" s="85" t="n">
        <f aca="false">CI26+CI34+CI40+CI49</f>
        <v>2019434</v>
      </c>
      <c r="CJ52" s="85" t="n">
        <f aca="false">CJ26+CJ34+CJ40+CJ49</f>
        <v>2006694</v>
      </c>
      <c r="CK52" s="85" t="n">
        <f aca="false">CK26+CK34+CK40+CK49</f>
        <v>2020685</v>
      </c>
      <c r="CL52" s="85" t="n">
        <f aca="false">CL26+CL34+CL40+CL49</f>
        <v>2022481</v>
      </c>
      <c r="CM52" s="85" t="n">
        <f aca="false">CM26+CM34+CM40+CM49</f>
        <v>2009239</v>
      </c>
      <c r="CN52" s="85" t="n">
        <f aca="false">CN26+CN34+CN40+CN49</f>
        <v>2020079</v>
      </c>
      <c r="CO52" s="85" t="n">
        <f aca="false">CO26+CO34+CO40+CO49</f>
        <v>2017153</v>
      </c>
      <c r="CP52" s="52"/>
    </row>
    <row r="53" customFormat="false" ht="12.75" hidden="false" customHeight="false" outlineLevel="0" collapsed="false">
      <c r="A53" s="52"/>
      <c r="B53" s="52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52"/>
      <c r="AQ53" s="71"/>
      <c r="AR53" s="52"/>
      <c r="BA53" s="52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CA53" s="52"/>
      <c r="CB53" s="52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52"/>
    </row>
    <row r="54" customFormat="false" ht="12.75" hidden="false" customHeight="false" outlineLevel="0" collapsed="false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BA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</row>
    <row r="55" customFormat="false" ht="12.75" hidden="false" customHeight="false" outlineLevel="0" collapsed="false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65"/>
      <c r="AG55" s="72"/>
      <c r="AH55" s="72"/>
      <c r="AI55" s="72"/>
      <c r="AJ55" s="52"/>
      <c r="AK55" s="52"/>
      <c r="AL55" s="52"/>
      <c r="AM55" s="52"/>
      <c r="AN55" s="52"/>
      <c r="AO55" s="52"/>
      <c r="AP55" s="52"/>
      <c r="AQ55" s="52"/>
      <c r="AR55" s="52"/>
      <c r="BA55" s="52"/>
      <c r="BC55" s="52"/>
      <c r="BD55" s="52"/>
      <c r="BE55" s="52"/>
      <c r="BF55" s="65"/>
      <c r="BG55" s="72"/>
      <c r="BH55" s="72"/>
      <c r="BI55" s="72"/>
      <c r="BJ55" s="52"/>
      <c r="BK55" s="52"/>
      <c r="BL55" s="52"/>
      <c r="BM55" s="52"/>
      <c r="BN55" s="52"/>
      <c r="BO55" s="52"/>
      <c r="CA55" s="52"/>
      <c r="CB55" s="52"/>
      <c r="CP55" s="52"/>
    </row>
    <row r="56" customFormat="false" ht="8.1" hidden="false" customHeight="true" outlineLevel="0" collapsed="false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BA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CA56" s="52"/>
      <c r="CB56" s="52"/>
      <c r="CP56" s="52"/>
    </row>
    <row r="57" customFormat="false" ht="12.75" hidden="fals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86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52"/>
      <c r="AQ57" s="71"/>
      <c r="AR57" s="52"/>
      <c r="BA57" s="52"/>
      <c r="BC57" s="86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CA57" s="52"/>
      <c r="CB57" s="52"/>
      <c r="CP57" s="52"/>
    </row>
    <row r="58" customFormat="false" ht="12.75" hidden="false" customHeight="false" outlineLevel="0" collapsed="false">
      <c r="A58" s="49"/>
      <c r="B58" s="70" t="s">
        <v>333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49"/>
      <c r="AB58" s="70" t="str">
        <f aca="false">B58</f>
        <v>CURRENT LIABILITIES</v>
      </c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52"/>
      <c r="AQ58" s="71"/>
      <c r="AR58" s="52"/>
      <c r="BA58" s="49"/>
      <c r="BB58" s="70" t="str">
        <f aca="false">B58</f>
        <v>CURRENT LIABILITIES</v>
      </c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CA58" s="49"/>
      <c r="CB58" s="70" t="str">
        <f aca="false">B58</f>
        <v>CURRENT LIABILITIES</v>
      </c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52"/>
    </row>
    <row r="59" customFormat="false" ht="12.75" hidden="false" customHeight="false" outlineLevel="0" collapsed="false">
      <c r="A59" s="72" t="s">
        <v>334</v>
      </c>
      <c r="B59" s="73" t="s">
        <v>335</v>
      </c>
      <c r="C59" s="71" t="n">
        <f aca="false">BACKUP!C299</f>
        <v>31722</v>
      </c>
      <c r="D59" s="71" t="n">
        <f aca="false">BACKUP!D299</f>
        <v>52229</v>
      </c>
      <c r="E59" s="71" t="n">
        <f aca="false">BACKUP!E299</f>
        <v>12858</v>
      </c>
      <c r="F59" s="71" t="n">
        <f aca="false">BACKUP!F299</f>
        <v>24601</v>
      </c>
      <c r="G59" s="71" t="n">
        <f aca="false">BACKUP!G299</f>
        <v>10969</v>
      </c>
      <c r="H59" s="71" t="n">
        <f aca="false">BACKUP!H299</f>
        <v>10668</v>
      </c>
      <c r="I59" s="71" t="n">
        <f aca="false">BACKUP!I299</f>
        <v>12070</v>
      </c>
      <c r="J59" s="71" t="n">
        <f aca="false">BACKUP!J299</f>
        <v>13366</v>
      </c>
      <c r="K59" s="71" t="n">
        <f aca="false">BACKUP!K299</f>
        <v>13824</v>
      </c>
      <c r="L59" s="71" t="n">
        <f aca="false">BACKUP!L299</f>
        <v>13841</v>
      </c>
      <c r="M59" s="71" t="n">
        <f aca="false">BACKUP!M299</f>
        <v>13841</v>
      </c>
      <c r="N59" s="71" t="n">
        <f aca="false">BACKUP!N299</f>
        <v>13841</v>
      </c>
      <c r="O59" s="71" t="n">
        <f aca="false">BACKUP!O299</f>
        <v>14572</v>
      </c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72" t="str">
        <f aca="false">A59</f>
        <v>A</v>
      </c>
      <c r="AB59" s="73" t="str">
        <f aca="false">B59</f>
        <v>   Accounts Payable - Assoc. Companies / Trade</v>
      </c>
      <c r="AC59" s="74" t="n">
        <v>0</v>
      </c>
      <c r="AD59" s="74" t="n">
        <v>0</v>
      </c>
      <c r="AE59" s="74" t="n">
        <v>0</v>
      </c>
      <c r="AF59" s="74" t="n">
        <v>0</v>
      </c>
      <c r="AG59" s="74" t="n">
        <v>0</v>
      </c>
      <c r="AH59" s="74" t="n">
        <v>0</v>
      </c>
      <c r="AI59" s="74" t="n">
        <v>0</v>
      </c>
      <c r="AJ59" s="74" t="n">
        <v>0</v>
      </c>
      <c r="AK59" s="74" t="n">
        <v>0</v>
      </c>
      <c r="AL59" s="74" t="n">
        <v>0</v>
      </c>
      <c r="AM59" s="74" t="n">
        <v>0</v>
      </c>
      <c r="AN59" s="74" t="n">
        <v>0</v>
      </c>
      <c r="AO59" s="74" t="n">
        <v>0</v>
      </c>
      <c r="AP59" s="52"/>
      <c r="AQ59" s="71"/>
      <c r="AR59" s="52"/>
      <c r="BA59" s="72" t="str">
        <f aca="false">AA59</f>
        <v>A</v>
      </c>
      <c r="BB59" s="73" t="str">
        <f aca="false">B59</f>
        <v>   Accounts Payable - Assoc. Companies / Trade</v>
      </c>
      <c r="BC59" s="74" t="n">
        <v>50</v>
      </c>
      <c r="BD59" s="77" t="n">
        <f aca="false">BC59</f>
        <v>50</v>
      </c>
      <c r="BE59" s="77" t="n">
        <f aca="false">BD59</f>
        <v>50</v>
      </c>
      <c r="BF59" s="77" t="n">
        <f aca="false">BE59</f>
        <v>50</v>
      </c>
      <c r="BG59" s="77" t="n">
        <f aca="false">BF59</f>
        <v>50</v>
      </c>
      <c r="BH59" s="77" t="n">
        <f aca="false">BG59</f>
        <v>50</v>
      </c>
      <c r="BI59" s="77" t="n">
        <f aca="false">BH59</f>
        <v>50</v>
      </c>
      <c r="BJ59" s="77" t="n">
        <f aca="false">BI59</f>
        <v>50</v>
      </c>
      <c r="BK59" s="77" t="n">
        <f aca="false">BJ59</f>
        <v>50</v>
      </c>
      <c r="BL59" s="77" t="n">
        <f aca="false">BK59</f>
        <v>50</v>
      </c>
      <c r="BM59" s="77" t="n">
        <f aca="false">BL59</f>
        <v>50</v>
      </c>
      <c r="BN59" s="77" t="n">
        <f aca="false">BM59</f>
        <v>50</v>
      </c>
      <c r="BO59" s="77" t="n">
        <f aca="false">BN59</f>
        <v>50</v>
      </c>
      <c r="CA59" s="72" t="str">
        <f aca="false">A59</f>
        <v>A</v>
      </c>
      <c r="CB59" s="73" t="str">
        <f aca="false">B59</f>
        <v>   Accounts Payable - Assoc. Companies / Trade</v>
      </c>
      <c r="CC59" s="75" t="n">
        <f aca="false">C59-AC59-BC59</f>
        <v>31672</v>
      </c>
      <c r="CD59" s="75" t="n">
        <f aca="false">D59-AD59-BD59</f>
        <v>52179</v>
      </c>
      <c r="CE59" s="75" t="n">
        <f aca="false">E59-AE59-BE59</f>
        <v>12808</v>
      </c>
      <c r="CF59" s="75" t="n">
        <f aca="false">F59-AF59-BF59</f>
        <v>24551</v>
      </c>
      <c r="CG59" s="75" t="n">
        <f aca="false">G59-AG59-BG59</f>
        <v>10919</v>
      </c>
      <c r="CH59" s="75" t="n">
        <f aca="false">H59-AH59-BH59</f>
        <v>10618</v>
      </c>
      <c r="CI59" s="75" t="n">
        <f aca="false">I59-AI59-BI59</f>
        <v>12020</v>
      </c>
      <c r="CJ59" s="75" t="n">
        <f aca="false">J59-AJ59-BJ59</f>
        <v>13316</v>
      </c>
      <c r="CK59" s="75" t="n">
        <f aca="false">K59-AK59-BK59</f>
        <v>13774</v>
      </c>
      <c r="CL59" s="75" t="n">
        <f aca="false">L59-AL59-BL59</f>
        <v>13791</v>
      </c>
      <c r="CM59" s="75" t="n">
        <f aca="false">M59-AM59-BM59</f>
        <v>13791</v>
      </c>
      <c r="CN59" s="75" t="n">
        <f aca="false">N59-AN59-BN59</f>
        <v>13791</v>
      </c>
      <c r="CO59" s="75" t="n">
        <f aca="false">O59-AO59-BO59</f>
        <v>14522</v>
      </c>
      <c r="CP59" s="52"/>
    </row>
    <row r="60" customFormat="false" ht="12.75" hidden="false" customHeight="false" outlineLevel="0" collapsed="false">
      <c r="A60" s="72" t="s">
        <v>334</v>
      </c>
      <c r="B60" s="73" t="s">
        <v>336</v>
      </c>
      <c r="C60" s="71" t="n">
        <f aca="false">BACKUP!C317</f>
        <v>0</v>
      </c>
      <c r="D60" s="71" t="n">
        <f aca="false">BACKUP!D317</f>
        <v>0</v>
      </c>
      <c r="E60" s="71" t="n">
        <f aca="false">BACKUP!E317</f>
        <v>0</v>
      </c>
      <c r="F60" s="71" t="n">
        <f aca="false">BACKUP!F317</f>
        <v>0</v>
      </c>
      <c r="G60" s="71" t="n">
        <f aca="false">BACKUP!G317</f>
        <v>0</v>
      </c>
      <c r="H60" s="71" t="n">
        <f aca="false">BACKUP!H317</f>
        <v>0</v>
      </c>
      <c r="I60" s="71" t="n">
        <f aca="false">BACKUP!I317</f>
        <v>0</v>
      </c>
      <c r="J60" s="71" t="n">
        <f aca="false">BACKUP!J317</f>
        <v>0</v>
      </c>
      <c r="K60" s="71" t="n">
        <f aca="false">BACKUP!K317</f>
        <v>3301</v>
      </c>
      <c r="L60" s="71" t="n">
        <f aca="false">BACKUP!L317</f>
        <v>5234</v>
      </c>
      <c r="M60" s="71" t="n">
        <f aca="false">BACKUP!M317</f>
        <v>1239</v>
      </c>
      <c r="N60" s="71" t="n">
        <f aca="false">BACKUP!N317</f>
        <v>-4702</v>
      </c>
      <c r="O60" s="71" t="n">
        <f aca="false">BACKUP!O317</f>
        <v>-6564</v>
      </c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72" t="str">
        <f aca="false">A60</f>
        <v>A</v>
      </c>
      <c r="AB60" s="73" t="str">
        <f aca="false">B60</f>
        <v>                               - Other</v>
      </c>
      <c r="AC60" s="74" t="n">
        <v>0</v>
      </c>
      <c r="AD60" s="74" t="n">
        <v>0</v>
      </c>
      <c r="AE60" s="74" t="n">
        <v>0</v>
      </c>
      <c r="AF60" s="74" t="n">
        <v>0</v>
      </c>
      <c r="AG60" s="74" t="n">
        <v>0</v>
      </c>
      <c r="AH60" s="74" t="n">
        <v>0</v>
      </c>
      <c r="AI60" s="74" t="n">
        <v>0</v>
      </c>
      <c r="AJ60" s="74" t="n">
        <v>0</v>
      </c>
      <c r="AK60" s="74" t="n">
        <v>0</v>
      </c>
      <c r="AL60" s="74" t="n">
        <v>0</v>
      </c>
      <c r="AM60" s="74" t="n">
        <v>0</v>
      </c>
      <c r="AN60" s="74" t="n">
        <v>0</v>
      </c>
      <c r="AO60" s="74" t="n">
        <v>0</v>
      </c>
      <c r="AP60" s="52"/>
      <c r="AQ60" s="52"/>
      <c r="AR60" s="52"/>
      <c r="BA60" s="72" t="str">
        <f aca="false">AA60</f>
        <v>A</v>
      </c>
      <c r="BB60" s="73" t="str">
        <f aca="false">B60</f>
        <v>                               - Other</v>
      </c>
      <c r="BC60" s="74" t="n">
        <v>0</v>
      </c>
      <c r="BD60" s="74" t="n">
        <v>0</v>
      </c>
      <c r="BE60" s="74" t="n">
        <v>0</v>
      </c>
      <c r="BF60" s="74" t="n">
        <v>0</v>
      </c>
      <c r="BG60" s="74" t="n">
        <v>0</v>
      </c>
      <c r="BH60" s="74" t="n">
        <v>0</v>
      </c>
      <c r="BI60" s="74" t="n">
        <v>0</v>
      </c>
      <c r="BJ60" s="74" t="n">
        <v>0</v>
      </c>
      <c r="BK60" s="74" t="n">
        <v>0</v>
      </c>
      <c r="BL60" s="74" t="n">
        <v>0</v>
      </c>
      <c r="BM60" s="74" t="n">
        <v>0</v>
      </c>
      <c r="BN60" s="74" t="n">
        <v>0</v>
      </c>
      <c r="BO60" s="74" t="n">
        <v>0</v>
      </c>
      <c r="CA60" s="72" t="str">
        <f aca="false">A60</f>
        <v>A</v>
      </c>
      <c r="CB60" s="73" t="str">
        <f aca="false">B60</f>
        <v>                               - Other</v>
      </c>
      <c r="CC60" s="75" t="n">
        <f aca="false">C60-AC60-BC60</f>
        <v>0</v>
      </c>
      <c r="CD60" s="75" t="n">
        <f aca="false">D60-AD60-BD60</f>
        <v>0</v>
      </c>
      <c r="CE60" s="75" t="n">
        <f aca="false">E60-AE60-BE60</f>
        <v>0</v>
      </c>
      <c r="CF60" s="75" t="n">
        <f aca="false">F60-AF60-BF60</f>
        <v>0</v>
      </c>
      <c r="CG60" s="75" t="n">
        <f aca="false">G60-AG60-BG60</f>
        <v>0</v>
      </c>
      <c r="CH60" s="75" t="n">
        <f aca="false">H60-AH60-BH60</f>
        <v>0</v>
      </c>
      <c r="CI60" s="75" t="n">
        <f aca="false">I60-AI60-BI60</f>
        <v>0</v>
      </c>
      <c r="CJ60" s="75" t="n">
        <f aca="false">J60-AJ60-BJ60</f>
        <v>0</v>
      </c>
      <c r="CK60" s="75" t="n">
        <f aca="false">K60-AK60-BK60</f>
        <v>3301</v>
      </c>
      <c r="CL60" s="75" t="n">
        <f aca="false">L60-AL60-BL60</f>
        <v>5234</v>
      </c>
      <c r="CM60" s="75" t="n">
        <f aca="false">M60-AM60-BM60</f>
        <v>1239</v>
      </c>
      <c r="CN60" s="75" t="n">
        <f aca="false">N60-AN60-BN60</f>
        <v>-4702</v>
      </c>
      <c r="CO60" s="75" t="n">
        <f aca="false">O60-AO60-BO60</f>
        <v>-6564</v>
      </c>
      <c r="CP60" s="52"/>
    </row>
    <row r="61" customFormat="false" ht="12.75" hidden="false" customHeight="false" outlineLevel="0" collapsed="false">
      <c r="A61" s="72" t="s">
        <v>337</v>
      </c>
      <c r="B61" s="73" t="s">
        <v>338</v>
      </c>
      <c r="C61" s="71" t="n">
        <f aca="false">BACKUP!C333</f>
        <v>0</v>
      </c>
      <c r="D61" s="71" t="n">
        <f aca="false">BACKUP!D333</f>
        <v>0</v>
      </c>
      <c r="E61" s="71" t="n">
        <f aca="false">BACKUP!E333</f>
        <v>0</v>
      </c>
      <c r="F61" s="71" t="n">
        <f aca="false">BACKUP!F333</f>
        <v>0</v>
      </c>
      <c r="G61" s="71" t="n">
        <f aca="false">BACKUP!G333</f>
        <v>0</v>
      </c>
      <c r="H61" s="71" t="n">
        <f aca="false">BACKUP!H333</f>
        <v>0</v>
      </c>
      <c r="I61" s="71" t="n">
        <f aca="false">BACKUP!I333</f>
        <v>100</v>
      </c>
      <c r="J61" s="71" t="n">
        <f aca="false">BACKUP!J333</f>
        <v>1308</v>
      </c>
      <c r="K61" s="71" t="n">
        <f aca="false">BACKUP!K333</f>
        <v>1308</v>
      </c>
      <c r="L61" s="71" t="n">
        <f aca="false">BACKUP!L333</f>
        <v>1308</v>
      </c>
      <c r="M61" s="71" t="n">
        <f aca="false">BACKUP!M333</f>
        <v>1308</v>
      </c>
      <c r="N61" s="71" t="n">
        <f aca="false">BACKUP!N333</f>
        <v>1308</v>
      </c>
      <c r="O61" s="71" t="n">
        <f aca="false">BACKUP!O333</f>
        <v>1308</v>
      </c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72" t="str">
        <f aca="false">A61</f>
        <v>B</v>
      </c>
      <c r="AB61" s="73" t="str">
        <f aca="false">B61</f>
        <v>   Liability Price Risk Management</v>
      </c>
      <c r="AC61" s="74" t="n">
        <v>0</v>
      </c>
      <c r="AD61" s="74" t="n">
        <v>0</v>
      </c>
      <c r="AE61" s="74" t="n">
        <v>0</v>
      </c>
      <c r="AF61" s="74" t="n">
        <v>0</v>
      </c>
      <c r="AG61" s="74" t="n">
        <v>0</v>
      </c>
      <c r="AH61" s="74" t="n">
        <v>0</v>
      </c>
      <c r="AI61" s="74" t="n">
        <v>0</v>
      </c>
      <c r="AJ61" s="74" t="n">
        <v>0</v>
      </c>
      <c r="AK61" s="74" t="n">
        <v>0</v>
      </c>
      <c r="AL61" s="74" t="n">
        <v>0</v>
      </c>
      <c r="AM61" s="74" t="n">
        <v>0</v>
      </c>
      <c r="AN61" s="74" t="n">
        <v>0</v>
      </c>
      <c r="AO61" s="74" t="n">
        <v>0</v>
      </c>
      <c r="AP61" s="52"/>
      <c r="AQ61" s="71"/>
      <c r="AR61" s="52"/>
      <c r="BA61" s="72" t="str">
        <f aca="false">AA61</f>
        <v>B</v>
      </c>
      <c r="BB61" s="73" t="str">
        <f aca="false">B61</f>
        <v>   Liability Price Risk Management</v>
      </c>
      <c r="BC61" s="74" t="n">
        <v>0</v>
      </c>
      <c r="BD61" s="74" t="n">
        <v>0</v>
      </c>
      <c r="BE61" s="74" t="n">
        <v>0</v>
      </c>
      <c r="BF61" s="74" t="n">
        <v>0</v>
      </c>
      <c r="BG61" s="74" t="n">
        <v>0</v>
      </c>
      <c r="BH61" s="74" t="n">
        <v>0</v>
      </c>
      <c r="BI61" s="74" t="n">
        <v>0</v>
      </c>
      <c r="BJ61" s="74" t="n">
        <v>0</v>
      </c>
      <c r="BK61" s="74" t="n">
        <v>0</v>
      </c>
      <c r="BL61" s="74" t="n">
        <v>0</v>
      </c>
      <c r="BM61" s="74" t="n">
        <v>0</v>
      </c>
      <c r="BN61" s="74" t="n">
        <v>0</v>
      </c>
      <c r="BO61" s="74" t="n">
        <v>0</v>
      </c>
      <c r="CA61" s="72" t="str">
        <f aca="false">A61</f>
        <v>B</v>
      </c>
      <c r="CB61" s="73" t="str">
        <f aca="false">B61</f>
        <v>   Liability Price Risk Management</v>
      </c>
      <c r="CC61" s="75" t="n">
        <f aca="false">C61-AC61-BC61</f>
        <v>0</v>
      </c>
      <c r="CD61" s="75" t="n">
        <f aca="false">D61-AD61-BD61</f>
        <v>0</v>
      </c>
      <c r="CE61" s="75" t="n">
        <f aca="false">E61-AE61-BE61</f>
        <v>0</v>
      </c>
      <c r="CF61" s="75" t="n">
        <f aca="false">F61-AF61-BF61</f>
        <v>0</v>
      </c>
      <c r="CG61" s="75" t="n">
        <f aca="false">G61-AG61-BG61</f>
        <v>0</v>
      </c>
      <c r="CH61" s="75" t="n">
        <f aca="false">H61-AH61-BH61</f>
        <v>0</v>
      </c>
      <c r="CI61" s="75" t="n">
        <f aca="false">I61-AI61-BI61</f>
        <v>100</v>
      </c>
      <c r="CJ61" s="75" t="n">
        <f aca="false">J61-AJ61-BJ61</f>
        <v>1308</v>
      </c>
      <c r="CK61" s="75" t="n">
        <f aca="false">K61-AK61-BK61</f>
        <v>1308</v>
      </c>
      <c r="CL61" s="75" t="n">
        <f aca="false">L61-AL61-BL61</f>
        <v>1308</v>
      </c>
      <c r="CM61" s="75" t="n">
        <f aca="false">M61-AM61-BM61</f>
        <v>1308</v>
      </c>
      <c r="CN61" s="75" t="n">
        <f aca="false">N61-AN61-BN61</f>
        <v>1308</v>
      </c>
      <c r="CO61" s="75" t="n">
        <f aca="false">O61-AO61-BO61</f>
        <v>1308</v>
      </c>
      <c r="CP61" s="52"/>
    </row>
    <row r="62" customFormat="false" ht="12.75" hidden="false" customHeight="false" outlineLevel="0" collapsed="false">
      <c r="A62" s="72" t="s">
        <v>337</v>
      </c>
      <c r="B62" s="73" t="s">
        <v>339</v>
      </c>
      <c r="C62" s="71" t="n">
        <f aca="false">BACKUP!C341</f>
        <v>69748</v>
      </c>
      <c r="D62" s="71" t="n">
        <f aca="false">BACKUP!D341</f>
        <v>102092</v>
      </c>
      <c r="E62" s="71" t="n">
        <f aca="false">BACKUP!E341</f>
        <v>87633</v>
      </c>
      <c r="F62" s="71" t="n">
        <f aca="false">BACKUP!F341</f>
        <v>72753</v>
      </c>
      <c r="G62" s="71" t="n">
        <f aca="false">BACKUP!G341</f>
        <v>75153</v>
      </c>
      <c r="H62" s="71" t="n">
        <f aca="false">BACKUP!H341</f>
        <v>66180</v>
      </c>
      <c r="I62" s="71" t="n">
        <f aca="false">BACKUP!I341</f>
        <v>67260</v>
      </c>
      <c r="J62" s="71" t="n">
        <f aca="false">BACKUP!J341</f>
        <v>45493</v>
      </c>
      <c r="K62" s="71" t="n">
        <f aca="false">BACKUP!K341</f>
        <v>45493</v>
      </c>
      <c r="L62" s="71" t="n">
        <f aca="false">BACKUP!L341</f>
        <v>45493</v>
      </c>
      <c r="M62" s="71" t="n">
        <f aca="false">BACKUP!M341</f>
        <v>45493</v>
      </c>
      <c r="N62" s="71" t="n">
        <f aca="false">BACKUP!N341</f>
        <v>45493</v>
      </c>
      <c r="O62" s="71" t="n">
        <f aca="false">BACKUP!O341</f>
        <v>45493</v>
      </c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72" t="str">
        <f aca="false">A62</f>
        <v>B</v>
      </c>
      <c r="AB62" s="73" t="str">
        <f aca="false">B62</f>
        <v>   Exchange Gas Payable</v>
      </c>
      <c r="AC62" s="74" t="n">
        <v>0</v>
      </c>
      <c r="AD62" s="74" t="n">
        <v>0</v>
      </c>
      <c r="AE62" s="74" t="n">
        <v>0</v>
      </c>
      <c r="AF62" s="74" t="n">
        <v>0</v>
      </c>
      <c r="AG62" s="74" t="n">
        <v>0</v>
      </c>
      <c r="AH62" s="74" t="n">
        <v>0</v>
      </c>
      <c r="AI62" s="74" t="n">
        <v>0</v>
      </c>
      <c r="AJ62" s="74" t="n">
        <v>0</v>
      </c>
      <c r="AK62" s="74" t="n">
        <v>0</v>
      </c>
      <c r="AL62" s="74" t="n">
        <v>0</v>
      </c>
      <c r="AM62" s="74" t="n">
        <v>0</v>
      </c>
      <c r="AN62" s="74" t="n">
        <v>0</v>
      </c>
      <c r="AO62" s="74" t="n">
        <v>0</v>
      </c>
      <c r="AP62" s="52"/>
      <c r="AQ62" s="71"/>
      <c r="AR62" s="52"/>
      <c r="BA62" s="72" t="str">
        <f aca="false">AA62</f>
        <v>B</v>
      </c>
      <c r="BB62" s="73" t="str">
        <f aca="false">B62</f>
        <v>   Exchange Gas Payable</v>
      </c>
      <c r="BC62" s="74" t="n">
        <v>0</v>
      </c>
      <c r="BD62" s="74" t="n">
        <v>0</v>
      </c>
      <c r="BE62" s="74" t="n">
        <v>0</v>
      </c>
      <c r="BF62" s="74" t="n">
        <v>0</v>
      </c>
      <c r="BG62" s="74" t="n">
        <v>0</v>
      </c>
      <c r="BH62" s="74" t="n">
        <v>0</v>
      </c>
      <c r="BI62" s="74" t="n">
        <v>0</v>
      </c>
      <c r="BJ62" s="74" t="n">
        <v>0</v>
      </c>
      <c r="BK62" s="74" t="n">
        <v>0</v>
      </c>
      <c r="BL62" s="74" t="n">
        <v>0</v>
      </c>
      <c r="BM62" s="74" t="n">
        <v>0</v>
      </c>
      <c r="BN62" s="74" t="n">
        <v>0</v>
      </c>
      <c r="BO62" s="74" t="n">
        <v>0</v>
      </c>
      <c r="CA62" s="72" t="str">
        <f aca="false">A62</f>
        <v>B</v>
      </c>
      <c r="CB62" s="73" t="str">
        <f aca="false">B62</f>
        <v>   Exchange Gas Payable</v>
      </c>
      <c r="CC62" s="75" t="n">
        <f aca="false">C62-AC62-BC62</f>
        <v>69748</v>
      </c>
      <c r="CD62" s="75" t="n">
        <f aca="false">D62-AD62-BD62</f>
        <v>102092</v>
      </c>
      <c r="CE62" s="75" t="n">
        <f aca="false">E62-AE62-BE62</f>
        <v>87633</v>
      </c>
      <c r="CF62" s="75" t="n">
        <f aca="false">F62-AF62-BF62</f>
        <v>72753</v>
      </c>
      <c r="CG62" s="75" t="n">
        <f aca="false">G62-AG62-BG62</f>
        <v>75153</v>
      </c>
      <c r="CH62" s="75" t="n">
        <f aca="false">H62-AH62-BH62</f>
        <v>66180</v>
      </c>
      <c r="CI62" s="75" t="n">
        <f aca="false">I62-AI62-BI62</f>
        <v>67260</v>
      </c>
      <c r="CJ62" s="75" t="n">
        <f aca="false">J62-AJ62-BJ62</f>
        <v>45493</v>
      </c>
      <c r="CK62" s="75" t="n">
        <f aca="false">K62-AK62-BK62</f>
        <v>45493</v>
      </c>
      <c r="CL62" s="75" t="n">
        <f aca="false">L62-AL62-BL62</f>
        <v>45493</v>
      </c>
      <c r="CM62" s="75" t="n">
        <f aca="false">M62-AM62-BM62</f>
        <v>45493</v>
      </c>
      <c r="CN62" s="75" t="n">
        <f aca="false">N62-AN62-BN62</f>
        <v>45493</v>
      </c>
      <c r="CO62" s="75" t="n">
        <f aca="false">O62-AO62-BO62</f>
        <v>45493</v>
      </c>
      <c r="CP62" s="52"/>
    </row>
    <row r="63" customFormat="false" ht="12.75" hidden="false" customHeight="false" outlineLevel="0" collapsed="false">
      <c r="A63" s="72" t="s">
        <v>337</v>
      </c>
      <c r="B63" s="73" t="s">
        <v>340</v>
      </c>
      <c r="C63" s="71" t="n">
        <f aca="false">BACKUP!C366</f>
        <v>25457</v>
      </c>
      <c r="D63" s="71" t="n">
        <f aca="false">BACKUP!D366</f>
        <v>24562</v>
      </c>
      <c r="E63" s="71" t="n">
        <f aca="false">BACKUP!E366</f>
        <v>28662</v>
      </c>
      <c r="F63" s="71" t="n">
        <f aca="false">BACKUP!F366</f>
        <v>27244</v>
      </c>
      <c r="G63" s="71" t="n">
        <f aca="false">BACKUP!G366</f>
        <v>28999</v>
      </c>
      <c r="H63" s="71" t="n">
        <f aca="false">BACKUP!H366</f>
        <v>25378</v>
      </c>
      <c r="I63" s="71" t="n">
        <f aca="false">BACKUP!I366</f>
        <v>23505</v>
      </c>
      <c r="J63" s="71" t="n">
        <f aca="false">BACKUP!J366</f>
        <v>25898</v>
      </c>
      <c r="K63" s="71" t="n">
        <f aca="false">BACKUP!K366</f>
        <v>27679</v>
      </c>
      <c r="L63" s="71" t="n">
        <f aca="false">BACKUP!L366</f>
        <v>27121</v>
      </c>
      <c r="M63" s="71" t="n">
        <f aca="false">BACKUP!M366</f>
        <v>27355</v>
      </c>
      <c r="N63" s="71" t="n">
        <f aca="false">BACKUP!N366</f>
        <v>29239</v>
      </c>
      <c r="O63" s="71" t="n">
        <f aca="false">BACKUP!O366</f>
        <v>26410</v>
      </c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72" t="str">
        <f aca="false">A63</f>
        <v>B</v>
      </c>
      <c r="AB63" s="73" t="str">
        <f aca="false">B63</f>
        <v>   Accrued Taxes</v>
      </c>
      <c r="AC63" s="74" t="n">
        <v>672</v>
      </c>
      <c r="AD63" s="77" t="n">
        <f aca="false">AC63</f>
        <v>672</v>
      </c>
      <c r="AE63" s="77" t="n">
        <f aca="false">AD63</f>
        <v>672</v>
      </c>
      <c r="AF63" s="77" t="n">
        <f aca="false">AE63</f>
        <v>672</v>
      </c>
      <c r="AG63" s="77" t="n">
        <f aca="false">AF63</f>
        <v>672</v>
      </c>
      <c r="AH63" s="77" t="n">
        <f aca="false">AG63</f>
        <v>672</v>
      </c>
      <c r="AI63" s="77" t="n">
        <f aca="false">AH63</f>
        <v>672</v>
      </c>
      <c r="AJ63" s="77" t="n">
        <f aca="false">AI63</f>
        <v>672</v>
      </c>
      <c r="AK63" s="77" t="n">
        <f aca="false">AJ63</f>
        <v>672</v>
      </c>
      <c r="AL63" s="77" t="n">
        <f aca="false">AK63</f>
        <v>672</v>
      </c>
      <c r="AM63" s="77" t="n">
        <f aca="false">AL63</f>
        <v>672</v>
      </c>
      <c r="AN63" s="77" t="n">
        <f aca="false">AM63</f>
        <v>672</v>
      </c>
      <c r="AO63" s="77" t="n">
        <f aca="false">AN63</f>
        <v>672</v>
      </c>
      <c r="AP63" s="52"/>
      <c r="AQ63" s="71"/>
      <c r="AR63" s="52"/>
      <c r="BA63" s="72" t="str">
        <f aca="false">AA63</f>
        <v>B</v>
      </c>
      <c r="BB63" s="73" t="str">
        <f aca="false">B63</f>
        <v>   Accrued Taxes</v>
      </c>
      <c r="BC63" s="74" t="n">
        <v>230</v>
      </c>
      <c r="BD63" s="77" t="n">
        <f aca="false">BC63</f>
        <v>230</v>
      </c>
      <c r="BE63" s="77" t="n">
        <f aca="false">BD63</f>
        <v>230</v>
      </c>
      <c r="BF63" s="77" t="n">
        <f aca="false">BE63</f>
        <v>230</v>
      </c>
      <c r="BG63" s="77" t="n">
        <f aca="false">BF63</f>
        <v>230</v>
      </c>
      <c r="BH63" s="77" t="n">
        <f aca="false">BG63</f>
        <v>230</v>
      </c>
      <c r="BI63" s="77" t="n">
        <f aca="false">BH63</f>
        <v>230</v>
      </c>
      <c r="BJ63" s="77" t="n">
        <f aca="false">BI63</f>
        <v>230</v>
      </c>
      <c r="BK63" s="77" t="n">
        <f aca="false">BJ63</f>
        <v>230</v>
      </c>
      <c r="BL63" s="77" t="n">
        <f aca="false">BK63</f>
        <v>230</v>
      </c>
      <c r="BM63" s="77" t="n">
        <f aca="false">BL63</f>
        <v>230</v>
      </c>
      <c r="BN63" s="77" t="n">
        <f aca="false">BM63</f>
        <v>230</v>
      </c>
      <c r="BO63" s="77" t="n">
        <f aca="false">BN63</f>
        <v>230</v>
      </c>
      <c r="CA63" s="72" t="str">
        <f aca="false">A63</f>
        <v>B</v>
      </c>
      <c r="CB63" s="73" t="str">
        <f aca="false">B63</f>
        <v>   Accrued Taxes</v>
      </c>
      <c r="CC63" s="75" t="n">
        <f aca="false">C63-AC63-BC63</f>
        <v>24555</v>
      </c>
      <c r="CD63" s="75" t="n">
        <f aca="false">D63-AD63-BD63</f>
        <v>23660</v>
      </c>
      <c r="CE63" s="75" t="n">
        <f aca="false">E63-AE63-BE63</f>
        <v>27760</v>
      </c>
      <c r="CF63" s="75" t="n">
        <f aca="false">F63-AF63-BF63</f>
        <v>26342</v>
      </c>
      <c r="CG63" s="75" t="n">
        <f aca="false">G63-AG63-BG63</f>
        <v>28097</v>
      </c>
      <c r="CH63" s="75" t="n">
        <f aca="false">H63-AH63-BH63</f>
        <v>24476</v>
      </c>
      <c r="CI63" s="75" t="n">
        <f aca="false">I63-AI63-BI63</f>
        <v>22603</v>
      </c>
      <c r="CJ63" s="75" t="n">
        <f aca="false">J63-AJ63-BJ63</f>
        <v>24996</v>
      </c>
      <c r="CK63" s="75" t="n">
        <f aca="false">K63-AK63-BK63</f>
        <v>26777</v>
      </c>
      <c r="CL63" s="75" t="n">
        <f aca="false">L63-AL63-BL63</f>
        <v>26219</v>
      </c>
      <c r="CM63" s="75" t="n">
        <f aca="false">M63-AM63-BM63</f>
        <v>26453</v>
      </c>
      <c r="CN63" s="75" t="n">
        <f aca="false">N63-AN63-BN63</f>
        <v>28337</v>
      </c>
      <c r="CO63" s="75" t="n">
        <f aca="false">O63-AO63-BO63</f>
        <v>25508</v>
      </c>
      <c r="CP63" s="52"/>
    </row>
    <row r="64" customFormat="false" ht="12.75" hidden="false" customHeight="false" outlineLevel="0" collapsed="false">
      <c r="A64" s="72" t="s">
        <v>341</v>
      </c>
      <c r="B64" s="73" t="s">
        <v>342</v>
      </c>
      <c r="C64" s="71" t="n">
        <f aca="false">BACKUP!C376</f>
        <v>2374</v>
      </c>
      <c r="D64" s="71" t="n">
        <f aca="false">BACKUP!D376</f>
        <v>2474</v>
      </c>
      <c r="E64" s="71" t="n">
        <f aca="false">BACKUP!E376</f>
        <v>2476</v>
      </c>
      <c r="F64" s="71" t="n">
        <f aca="false">BACKUP!F376</f>
        <v>2476</v>
      </c>
      <c r="G64" s="71" t="n">
        <f aca="false">BACKUP!G376</f>
        <v>2477</v>
      </c>
      <c r="H64" s="71" t="n">
        <f aca="false">BACKUP!H376</f>
        <v>2478</v>
      </c>
      <c r="I64" s="71" t="n">
        <f aca="false">BACKUP!I376</f>
        <v>2478</v>
      </c>
      <c r="J64" s="71" t="n">
        <f aca="false">BACKUP!J376</f>
        <v>2479</v>
      </c>
      <c r="K64" s="71" t="n">
        <f aca="false">BACKUP!K376</f>
        <v>2479</v>
      </c>
      <c r="L64" s="71" t="n">
        <f aca="false">BACKUP!L376</f>
        <v>2479</v>
      </c>
      <c r="M64" s="71" t="n">
        <f aca="false">BACKUP!M376</f>
        <v>2479</v>
      </c>
      <c r="N64" s="71" t="n">
        <f aca="false">BACKUP!N376</f>
        <v>2479</v>
      </c>
      <c r="O64" s="71" t="n">
        <f aca="false">BACKUP!O376</f>
        <v>2479</v>
      </c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72" t="str">
        <f aca="false">A64</f>
        <v>C</v>
      </c>
      <c r="AB64" s="73" t="str">
        <f aca="false">B64</f>
        <v>   Deferred Income Taxes - Current</v>
      </c>
      <c r="AC64" s="74" t="n">
        <v>0</v>
      </c>
      <c r="AD64" s="77" t="n">
        <f aca="false">AC64</f>
        <v>0</v>
      </c>
      <c r="AE64" s="77" t="n">
        <f aca="false">AD64</f>
        <v>0</v>
      </c>
      <c r="AF64" s="77" t="n">
        <f aca="false">AE64</f>
        <v>0</v>
      </c>
      <c r="AG64" s="77" t="n">
        <f aca="false">AF64</f>
        <v>0</v>
      </c>
      <c r="AH64" s="77" t="n">
        <f aca="false">AG64</f>
        <v>0</v>
      </c>
      <c r="AI64" s="77" t="n">
        <f aca="false">AH64</f>
        <v>0</v>
      </c>
      <c r="AJ64" s="77" t="n">
        <f aca="false">AI64</f>
        <v>0</v>
      </c>
      <c r="AK64" s="77" t="n">
        <f aca="false">AJ64</f>
        <v>0</v>
      </c>
      <c r="AL64" s="77" t="n">
        <f aca="false">AK64</f>
        <v>0</v>
      </c>
      <c r="AM64" s="77" t="n">
        <f aca="false">AL64</f>
        <v>0</v>
      </c>
      <c r="AN64" s="77" t="n">
        <f aca="false">AM64</f>
        <v>0</v>
      </c>
      <c r="AO64" s="77" t="n">
        <f aca="false">AN64</f>
        <v>0</v>
      </c>
      <c r="AP64" s="52"/>
      <c r="AQ64" s="71"/>
      <c r="AR64" s="52"/>
      <c r="BA64" s="72" t="str">
        <f aca="false">AA64</f>
        <v>C</v>
      </c>
      <c r="BB64" s="73" t="str">
        <f aca="false">B64</f>
        <v>   Deferred Income Taxes - Current</v>
      </c>
      <c r="BC64" s="74" t="n">
        <v>0</v>
      </c>
      <c r="BD64" s="77" t="n">
        <f aca="false">BC64</f>
        <v>0</v>
      </c>
      <c r="BE64" s="77" t="n">
        <f aca="false">BD64</f>
        <v>0</v>
      </c>
      <c r="BF64" s="77" t="n">
        <f aca="false">BE64</f>
        <v>0</v>
      </c>
      <c r="BG64" s="77" t="n">
        <f aca="false">BF64</f>
        <v>0</v>
      </c>
      <c r="BH64" s="77" t="n">
        <f aca="false">BG64</f>
        <v>0</v>
      </c>
      <c r="BI64" s="77" t="n">
        <f aca="false">BH64</f>
        <v>0</v>
      </c>
      <c r="BJ64" s="77" t="n">
        <f aca="false">BI64</f>
        <v>0</v>
      </c>
      <c r="BK64" s="77" t="n">
        <f aca="false">BJ64</f>
        <v>0</v>
      </c>
      <c r="BL64" s="77" t="n">
        <f aca="false">BK64</f>
        <v>0</v>
      </c>
      <c r="BM64" s="77" t="n">
        <f aca="false">BL64</f>
        <v>0</v>
      </c>
      <c r="BN64" s="77" t="n">
        <f aca="false">BM64</f>
        <v>0</v>
      </c>
      <c r="BO64" s="77" t="n">
        <f aca="false">BN64</f>
        <v>0</v>
      </c>
      <c r="CA64" s="72" t="str">
        <f aca="false">A64</f>
        <v>C</v>
      </c>
      <c r="CB64" s="73" t="str">
        <f aca="false">B64</f>
        <v>   Deferred Income Taxes - Current</v>
      </c>
      <c r="CC64" s="75" t="n">
        <f aca="false">C64-AC64-BC64</f>
        <v>2374</v>
      </c>
      <c r="CD64" s="75" t="n">
        <f aca="false">D64-AD64-BD64</f>
        <v>2474</v>
      </c>
      <c r="CE64" s="75" t="n">
        <f aca="false">E64-AE64-BE64</f>
        <v>2476</v>
      </c>
      <c r="CF64" s="75" t="n">
        <f aca="false">F64-AF64-BF64</f>
        <v>2476</v>
      </c>
      <c r="CG64" s="75" t="n">
        <f aca="false">G64-AG64-BG64</f>
        <v>2477</v>
      </c>
      <c r="CH64" s="75" t="n">
        <f aca="false">H64-AH64-BH64</f>
        <v>2478</v>
      </c>
      <c r="CI64" s="75" t="n">
        <f aca="false">I64-AI64-BI64</f>
        <v>2478</v>
      </c>
      <c r="CJ64" s="75" t="n">
        <f aca="false">J64-AJ64-BJ64</f>
        <v>2479</v>
      </c>
      <c r="CK64" s="75" t="n">
        <f aca="false">K64-AK64-BK64</f>
        <v>2479</v>
      </c>
      <c r="CL64" s="75" t="n">
        <f aca="false">L64-AL64-BL64</f>
        <v>2479</v>
      </c>
      <c r="CM64" s="75" t="n">
        <f aca="false">M64-AM64-BM64</f>
        <v>2479</v>
      </c>
      <c r="CN64" s="75" t="n">
        <f aca="false">N64-AN64-BN64</f>
        <v>2479</v>
      </c>
      <c r="CO64" s="75" t="n">
        <f aca="false">O64-AO64-BO64</f>
        <v>2479</v>
      </c>
      <c r="CP64" s="52"/>
    </row>
    <row r="65" customFormat="false" ht="12.75" hidden="false" customHeight="false" outlineLevel="0" collapsed="false">
      <c r="A65" s="72" t="s">
        <v>337</v>
      </c>
      <c r="B65" s="73" t="s">
        <v>343</v>
      </c>
      <c r="C65" s="71" t="n">
        <f aca="false">BACKUP!C396</f>
        <v>5634</v>
      </c>
      <c r="D65" s="71" t="n">
        <f aca="false">BACKUP!D396</f>
        <v>8509</v>
      </c>
      <c r="E65" s="71" t="n">
        <f aca="false">BACKUP!E396</f>
        <v>11384</v>
      </c>
      <c r="F65" s="71" t="n">
        <f aca="false">BACKUP!F396</f>
        <v>9197</v>
      </c>
      <c r="G65" s="71" t="n">
        <f aca="false">BACKUP!G396</f>
        <v>12072</v>
      </c>
      <c r="H65" s="71" t="n">
        <f aca="false">BACKUP!H396</f>
        <v>11509</v>
      </c>
      <c r="I65" s="71" t="n">
        <f aca="false">BACKUP!I396</f>
        <v>5634</v>
      </c>
      <c r="J65" s="71" t="n">
        <f aca="false">BACKUP!J396</f>
        <v>8509</v>
      </c>
      <c r="K65" s="71" t="n">
        <f aca="false">BACKUP!K396</f>
        <v>11384</v>
      </c>
      <c r="L65" s="71" t="n">
        <f aca="false">BACKUP!L396</f>
        <v>9197</v>
      </c>
      <c r="M65" s="71" t="n">
        <f aca="false">BACKUP!M396</f>
        <v>12072</v>
      </c>
      <c r="N65" s="71" t="n">
        <f aca="false">BACKUP!N396</f>
        <v>11509</v>
      </c>
      <c r="O65" s="71" t="n">
        <f aca="false">BACKUP!O396</f>
        <v>5634</v>
      </c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72" t="str">
        <f aca="false">A65</f>
        <v>B</v>
      </c>
      <c r="AB65" s="73" t="str">
        <f aca="false">B65</f>
        <v>   Accrued Interest</v>
      </c>
      <c r="AC65" s="74" t="n">
        <v>0</v>
      </c>
      <c r="AD65" s="74" t="n">
        <v>0</v>
      </c>
      <c r="AE65" s="74" t="n">
        <v>0</v>
      </c>
      <c r="AF65" s="74" t="n">
        <v>0</v>
      </c>
      <c r="AG65" s="74" t="n">
        <v>0</v>
      </c>
      <c r="AH65" s="74" t="n">
        <v>0</v>
      </c>
      <c r="AI65" s="74" t="n">
        <v>0</v>
      </c>
      <c r="AJ65" s="74" t="n">
        <v>0</v>
      </c>
      <c r="AK65" s="74" t="n">
        <v>0</v>
      </c>
      <c r="AL65" s="74" t="n">
        <v>0</v>
      </c>
      <c r="AM65" s="74" t="n">
        <v>0</v>
      </c>
      <c r="AN65" s="74" t="n">
        <v>0</v>
      </c>
      <c r="AO65" s="74" t="n">
        <v>0</v>
      </c>
      <c r="AP65" s="52"/>
      <c r="AQ65" s="71"/>
      <c r="AR65" s="52"/>
      <c r="BA65" s="72" t="str">
        <f aca="false">AA65</f>
        <v>B</v>
      </c>
      <c r="BB65" s="73" t="str">
        <f aca="false">B65</f>
        <v>   Accrued Interest</v>
      </c>
      <c r="BC65" s="74" t="n">
        <v>0</v>
      </c>
      <c r="BD65" s="74" t="n">
        <v>0</v>
      </c>
      <c r="BE65" s="74" t="n">
        <v>0</v>
      </c>
      <c r="BF65" s="74" t="n">
        <v>0</v>
      </c>
      <c r="BG65" s="74" t="n">
        <v>0</v>
      </c>
      <c r="BH65" s="74" t="n">
        <v>0</v>
      </c>
      <c r="BI65" s="74" t="n">
        <v>0</v>
      </c>
      <c r="BJ65" s="74" t="n">
        <v>0</v>
      </c>
      <c r="BK65" s="74" t="n">
        <v>0</v>
      </c>
      <c r="BL65" s="74" t="n">
        <v>0</v>
      </c>
      <c r="BM65" s="74" t="n">
        <v>0</v>
      </c>
      <c r="BN65" s="74" t="n">
        <v>0</v>
      </c>
      <c r="BO65" s="74" t="n">
        <v>0</v>
      </c>
      <c r="CA65" s="72" t="str">
        <f aca="false">A65</f>
        <v>B</v>
      </c>
      <c r="CB65" s="73" t="str">
        <f aca="false">B65</f>
        <v>   Accrued Interest</v>
      </c>
      <c r="CC65" s="75" t="n">
        <f aca="false">C65-AC65-BC65</f>
        <v>5634</v>
      </c>
      <c r="CD65" s="75" t="n">
        <f aca="false">D65-AD65-BD65</f>
        <v>8509</v>
      </c>
      <c r="CE65" s="75" t="n">
        <f aca="false">E65-AE65-BE65</f>
        <v>11384</v>
      </c>
      <c r="CF65" s="75" t="n">
        <f aca="false">F65-AF65-BF65</f>
        <v>9197</v>
      </c>
      <c r="CG65" s="75" t="n">
        <f aca="false">G65-AG65-BG65</f>
        <v>12072</v>
      </c>
      <c r="CH65" s="75" t="n">
        <f aca="false">H65-AH65-BH65</f>
        <v>11509</v>
      </c>
      <c r="CI65" s="75" t="n">
        <f aca="false">I65-AI65-BI65</f>
        <v>5634</v>
      </c>
      <c r="CJ65" s="75" t="n">
        <f aca="false">J65-AJ65-BJ65</f>
        <v>8509</v>
      </c>
      <c r="CK65" s="75" t="n">
        <f aca="false">K65-AK65-BK65</f>
        <v>11384</v>
      </c>
      <c r="CL65" s="75" t="n">
        <f aca="false">L65-AL65-BL65</f>
        <v>9197</v>
      </c>
      <c r="CM65" s="75" t="n">
        <f aca="false">M65-AM65-BM65</f>
        <v>12072</v>
      </c>
      <c r="CN65" s="75" t="n">
        <f aca="false">N65-AN65-BN65</f>
        <v>11509</v>
      </c>
      <c r="CO65" s="75" t="n">
        <f aca="false">O65-AO65-BO65</f>
        <v>5634</v>
      </c>
      <c r="CP65" s="52"/>
    </row>
    <row r="66" customFormat="false" ht="12.75" hidden="false" customHeight="false" outlineLevel="0" collapsed="false">
      <c r="A66" s="72" t="s">
        <v>344</v>
      </c>
      <c r="B66" s="73" t="s">
        <v>345</v>
      </c>
      <c r="C66" s="71" t="n">
        <f aca="false">BACKUP!C427</f>
        <v>12256</v>
      </c>
      <c r="D66" s="71" t="n">
        <f aca="false">BACKUP!D427</f>
        <v>19361</v>
      </c>
      <c r="E66" s="71" t="n">
        <f aca="false">BACKUP!E427</f>
        <v>10590</v>
      </c>
      <c r="F66" s="71" t="n">
        <f aca="false">BACKUP!F427</f>
        <v>9548</v>
      </c>
      <c r="G66" s="71" t="n">
        <f aca="false">BACKUP!G427</f>
        <v>8526</v>
      </c>
      <c r="H66" s="71" t="n">
        <f aca="false">BACKUP!H427</f>
        <v>4870</v>
      </c>
      <c r="I66" s="71" t="n">
        <f aca="false">BACKUP!I427</f>
        <v>5420</v>
      </c>
      <c r="J66" s="71" t="n">
        <f aca="false">BACKUP!J427</f>
        <v>2887</v>
      </c>
      <c r="K66" s="71" t="n">
        <f aca="false">BACKUP!K427</f>
        <v>2815</v>
      </c>
      <c r="L66" s="71" t="n">
        <f aca="false">BACKUP!L427</f>
        <v>2816</v>
      </c>
      <c r="M66" s="71" t="n">
        <f aca="false">BACKUP!M427</f>
        <v>2817</v>
      </c>
      <c r="N66" s="71" t="n">
        <f aca="false">BACKUP!N427</f>
        <v>3407</v>
      </c>
      <c r="O66" s="71" t="n">
        <f aca="false">BACKUP!O427</f>
        <v>4001</v>
      </c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72" t="str">
        <f aca="false">A66</f>
        <v>F</v>
      </c>
      <c r="AB66" s="73" t="str">
        <f aca="false">B66</f>
        <v>   Regulatory Liabilities</v>
      </c>
      <c r="AC66" s="74" t="n">
        <v>0</v>
      </c>
      <c r="AD66" s="74" t="n">
        <v>0</v>
      </c>
      <c r="AE66" s="74" t="n">
        <v>0</v>
      </c>
      <c r="AF66" s="74" t="n">
        <v>0</v>
      </c>
      <c r="AG66" s="74" t="n">
        <v>0</v>
      </c>
      <c r="AH66" s="74" t="n">
        <v>0</v>
      </c>
      <c r="AI66" s="74" t="n">
        <v>0</v>
      </c>
      <c r="AJ66" s="74" t="n">
        <v>0</v>
      </c>
      <c r="AK66" s="74" t="n">
        <v>0</v>
      </c>
      <c r="AL66" s="74" t="n">
        <v>0</v>
      </c>
      <c r="AM66" s="74" t="n">
        <v>0</v>
      </c>
      <c r="AN66" s="74" t="n">
        <v>0</v>
      </c>
      <c r="AO66" s="74" t="n">
        <v>0</v>
      </c>
      <c r="AP66" s="52"/>
      <c r="AQ66" s="52"/>
      <c r="AR66" s="52"/>
      <c r="BA66" s="72" t="str">
        <f aca="false">AA66</f>
        <v>F</v>
      </c>
      <c r="BB66" s="73" t="str">
        <f aca="false">B66</f>
        <v>   Regulatory Liabilities</v>
      </c>
      <c r="BC66" s="74" t="n">
        <v>0</v>
      </c>
      <c r="BD66" s="74" t="n">
        <v>0</v>
      </c>
      <c r="BE66" s="74" t="n">
        <v>0</v>
      </c>
      <c r="BF66" s="74" t="n">
        <v>0</v>
      </c>
      <c r="BG66" s="74" t="n">
        <v>0</v>
      </c>
      <c r="BH66" s="74" t="n">
        <v>0</v>
      </c>
      <c r="BI66" s="74" t="n">
        <v>0</v>
      </c>
      <c r="BJ66" s="74" t="n">
        <v>0</v>
      </c>
      <c r="BK66" s="74" t="n">
        <v>0</v>
      </c>
      <c r="BL66" s="74" t="n">
        <v>0</v>
      </c>
      <c r="BM66" s="74" t="n">
        <v>0</v>
      </c>
      <c r="BN66" s="74" t="n">
        <v>0</v>
      </c>
      <c r="BO66" s="74" t="n">
        <v>0</v>
      </c>
      <c r="CA66" s="72" t="str">
        <f aca="false">A66</f>
        <v>F</v>
      </c>
      <c r="CB66" s="73" t="str">
        <f aca="false">B66</f>
        <v>   Regulatory Liabilities</v>
      </c>
      <c r="CC66" s="75" t="n">
        <f aca="false">C66-AC66-BC66</f>
        <v>12256</v>
      </c>
      <c r="CD66" s="75" t="n">
        <f aca="false">D66-AD66-BD66</f>
        <v>19361</v>
      </c>
      <c r="CE66" s="75" t="n">
        <f aca="false">E66-AE66-BE66</f>
        <v>10590</v>
      </c>
      <c r="CF66" s="75" t="n">
        <f aca="false">F66-AF66-BF66</f>
        <v>9548</v>
      </c>
      <c r="CG66" s="75" t="n">
        <f aca="false">G66-AG66-BG66</f>
        <v>8526</v>
      </c>
      <c r="CH66" s="75" t="n">
        <f aca="false">H66-AH66-BH66</f>
        <v>4870</v>
      </c>
      <c r="CI66" s="75" t="n">
        <f aca="false">I66-AI66-BI66</f>
        <v>5420</v>
      </c>
      <c r="CJ66" s="75" t="n">
        <f aca="false">J66-AJ66-BJ66</f>
        <v>2887</v>
      </c>
      <c r="CK66" s="75" t="n">
        <f aca="false">K66-AK66-BK66</f>
        <v>2815</v>
      </c>
      <c r="CL66" s="75" t="n">
        <f aca="false">L66-AL66-BL66</f>
        <v>2816</v>
      </c>
      <c r="CM66" s="75" t="n">
        <f aca="false">M66-AM66-BM66</f>
        <v>2817</v>
      </c>
      <c r="CN66" s="75" t="n">
        <f aca="false">N66-AN66-BN66</f>
        <v>3407</v>
      </c>
      <c r="CO66" s="75" t="n">
        <f aca="false">O66-AO66-BO66</f>
        <v>4001</v>
      </c>
      <c r="CP66" s="52"/>
    </row>
    <row r="67" customFormat="false" ht="12.75" hidden="false" customHeight="false" outlineLevel="0" collapsed="false">
      <c r="A67" s="72" t="s">
        <v>346</v>
      </c>
      <c r="B67" s="73" t="s">
        <v>41</v>
      </c>
      <c r="C67" s="80" t="n">
        <f aca="false">BACKUP!C416</f>
        <v>17841</v>
      </c>
      <c r="D67" s="80" t="n">
        <f aca="false">BACKUP!D416</f>
        <v>15857</v>
      </c>
      <c r="E67" s="80" t="n">
        <f aca="false">BACKUP!E416</f>
        <v>19620</v>
      </c>
      <c r="F67" s="80" t="n">
        <f aca="false">BACKUP!F416</f>
        <v>20108</v>
      </c>
      <c r="G67" s="80" t="n">
        <f aca="false">BACKUP!G416</f>
        <v>20094</v>
      </c>
      <c r="H67" s="80" t="n">
        <f aca="false">BACKUP!H416</f>
        <v>20415</v>
      </c>
      <c r="I67" s="80" t="n">
        <f aca="false">BACKUP!I416</f>
        <v>20229</v>
      </c>
      <c r="J67" s="80" t="n">
        <f aca="false">BACKUP!J416</f>
        <v>20016</v>
      </c>
      <c r="K67" s="80" t="n">
        <f aca="false">BACKUP!K416</f>
        <v>19881</v>
      </c>
      <c r="L67" s="80" t="n">
        <f aca="false">BACKUP!L416</f>
        <v>19681</v>
      </c>
      <c r="M67" s="80" t="n">
        <f aca="false">BACKUP!M416</f>
        <v>20256</v>
      </c>
      <c r="N67" s="80" t="n">
        <f aca="false">BACKUP!N416</f>
        <v>20119</v>
      </c>
      <c r="O67" s="80" t="n">
        <f aca="false">BACKUP!O416</f>
        <v>9960</v>
      </c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72" t="str">
        <f aca="false">A67</f>
        <v>H</v>
      </c>
      <c r="AB67" s="73" t="str">
        <f aca="false">B67</f>
        <v>   Other</v>
      </c>
      <c r="AC67" s="81" t="n">
        <v>0</v>
      </c>
      <c r="AD67" s="81" t="n">
        <v>0</v>
      </c>
      <c r="AE67" s="81" t="n">
        <v>0</v>
      </c>
      <c r="AF67" s="81" t="n">
        <v>0</v>
      </c>
      <c r="AG67" s="81" t="n">
        <v>0</v>
      </c>
      <c r="AH67" s="81" t="n">
        <v>0</v>
      </c>
      <c r="AI67" s="81" t="n">
        <v>0</v>
      </c>
      <c r="AJ67" s="81" t="n">
        <v>0</v>
      </c>
      <c r="AK67" s="81" t="n">
        <v>0</v>
      </c>
      <c r="AL67" s="81" t="n">
        <v>0</v>
      </c>
      <c r="AM67" s="81" t="n">
        <v>0</v>
      </c>
      <c r="AN67" s="81" t="n">
        <v>0</v>
      </c>
      <c r="AO67" s="81" t="n">
        <v>0</v>
      </c>
      <c r="AP67" s="52"/>
      <c r="AQ67" s="71"/>
      <c r="AR67" s="52"/>
      <c r="BA67" s="72" t="str">
        <f aca="false">AA67</f>
        <v>H</v>
      </c>
      <c r="BB67" s="73" t="str">
        <f aca="false">B67</f>
        <v>   Other</v>
      </c>
      <c r="BC67" s="81" t="n">
        <v>0</v>
      </c>
      <c r="BD67" s="81" t="n">
        <v>0</v>
      </c>
      <c r="BE67" s="81" t="n">
        <v>0</v>
      </c>
      <c r="BF67" s="81" t="n">
        <v>0</v>
      </c>
      <c r="BG67" s="81" t="n">
        <v>0</v>
      </c>
      <c r="BH67" s="81" t="n">
        <v>0</v>
      </c>
      <c r="BI67" s="81" t="n">
        <v>0</v>
      </c>
      <c r="BJ67" s="81" t="n">
        <v>0</v>
      </c>
      <c r="BK67" s="81" t="n">
        <v>0</v>
      </c>
      <c r="BL67" s="81" t="n">
        <v>0</v>
      </c>
      <c r="BM67" s="81" t="n">
        <v>0</v>
      </c>
      <c r="BN67" s="81" t="n">
        <v>0</v>
      </c>
      <c r="BO67" s="81" t="n">
        <v>0</v>
      </c>
      <c r="CA67" s="72" t="str">
        <f aca="false">A67</f>
        <v>H</v>
      </c>
      <c r="CB67" s="73" t="str">
        <f aca="false">B67</f>
        <v>   Other</v>
      </c>
      <c r="CC67" s="82" t="n">
        <f aca="false">C67-AC67-BC67</f>
        <v>17841</v>
      </c>
      <c r="CD67" s="82" t="n">
        <f aca="false">D67-AD67-BD67</f>
        <v>15857</v>
      </c>
      <c r="CE67" s="82" t="n">
        <f aca="false">E67-AE67-BE67</f>
        <v>19620</v>
      </c>
      <c r="CF67" s="82" t="n">
        <f aca="false">F67-AF67-BF67</f>
        <v>20108</v>
      </c>
      <c r="CG67" s="82" t="n">
        <f aca="false">G67-AG67-BG67</f>
        <v>20094</v>
      </c>
      <c r="CH67" s="82" t="n">
        <f aca="false">H67-AH67-BH67</f>
        <v>20415</v>
      </c>
      <c r="CI67" s="82" t="n">
        <f aca="false">I67-AI67-BI67</f>
        <v>20229</v>
      </c>
      <c r="CJ67" s="82" t="n">
        <f aca="false">J67-AJ67-BJ67</f>
        <v>20016</v>
      </c>
      <c r="CK67" s="82" t="n">
        <f aca="false">K67-AK67-BK67</f>
        <v>19881</v>
      </c>
      <c r="CL67" s="82" t="n">
        <f aca="false">L67-AL67-BL67</f>
        <v>19681</v>
      </c>
      <c r="CM67" s="82" t="n">
        <f aca="false">M67-AM67-BM67</f>
        <v>20256</v>
      </c>
      <c r="CN67" s="82" t="n">
        <f aca="false">N67-AN67-BN67</f>
        <v>20119</v>
      </c>
      <c r="CO67" s="82" t="n">
        <f aca="false">O67-AO67-BO67</f>
        <v>9960</v>
      </c>
      <c r="CP67" s="52"/>
    </row>
    <row r="68" customFormat="false" ht="3.95" hidden="false" customHeight="true" outlineLevel="0" collapsed="false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BA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</row>
    <row r="69" customFormat="false" ht="12.75" hidden="false" customHeight="false" outlineLevel="0" collapsed="false">
      <c r="A69" s="49"/>
      <c r="B69" s="70" t="s">
        <v>347</v>
      </c>
      <c r="C69" s="80" t="n">
        <f aca="false">SUM(C59:C68)</f>
        <v>165032</v>
      </c>
      <c r="D69" s="80" t="n">
        <f aca="false">SUM(D59:D68)</f>
        <v>225084</v>
      </c>
      <c r="E69" s="80" t="n">
        <f aca="false">SUM(E59:E68)</f>
        <v>173223</v>
      </c>
      <c r="F69" s="80" t="n">
        <f aca="false">SUM(F59:F68)</f>
        <v>165927</v>
      </c>
      <c r="G69" s="80" t="n">
        <f aca="false">SUM(G59:G68)</f>
        <v>158290</v>
      </c>
      <c r="H69" s="80" t="n">
        <f aca="false">SUM(H59:H68)</f>
        <v>141498</v>
      </c>
      <c r="I69" s="80" t="n">
        <f aca="false">SUM(I59:I68)</f>
        <v>136696</v>
      </c>
      <c r="J69" s="80" t="n">
        <f aca="false">SUM(J59:J68)</f>
        <v>119956</v>
      </c>
      <c r="K69" s="80" t="n">
        <f aca="false">SUM(K59:K68)</f>
        <v>128164</v>
      </c>
      <c r="L69" s="80" t="n">
        <f aca="false">SUM(L59:L68)</f>
        <v>127170</v>
      </c>
      <c r="M69" s="80" t="n">
        <f aca="false">SUM(M59:M68)</f>
        <v>126860</v>
      </c>
      <c r="N69" s="80" t="n">
        <f aca="false">SUM(N59:N68)</f>
        <v>122693</v>
      </c>
      <c r="O69" s="80" t="n">
        <f aca="false">SUM(O59:O68)</f>
        <v>103293</v>
      </c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49"/>
      <c r="AB69" s="70" t="str">
        <f aca="false">B69</f>
        <v>      Total Current Liabilities</v>
      </c>
      <c r="AC69" s="80" t="n">
        <f aca="false">SUM(AC59:AC68)</f>
        <v>672</v>
      </c>
      <c r="AD69" s="80" t="n">
        <f aca="false">SUM(AD59:AD68)</f>
        <v>672</v>
      </c>
      <c r="AE69" s="80" t="n">
        <f aca="false">SUM(AE59:AE68)</f>
        <v>672</v>
      </c>
      <c r="AF69" s="80" t="n">
        <f aca="false">SUM(AF59:AF68)</f>
        <v>672</v>
      </c>
      <c r="AG69" s="80" t="n">
        <f aca="false">SUM(AG59:AG68)</f>
        <v>672</v>
      </c>
      <c r="AH69" s="80" t="n">
        <f aca="false">SUM(AH59:AH68)</f>
        <v>672</v>
      </c>
      <c r="AI69" s="80" t="n">
        <f aca="false">SUM(AI59:AI68)</f>
        <v>672</v>
      </c>
      <c r="AJ69" s="80" t="n">
        <f aca="false">SUM(AJ59:AJ68)</f>
        <v>672</v>
      </c>
      <c r="AK69" s="80" t="n">
        <f aca="false">SUM(AK59:AK68)</f>
        <v>672</v>
      </c>
      <c r="AL69" s="80" t="n">
        <f aca="false">SUM(AL59:AL68)</f>
        <v>672</v>
      </c>
      <c r="AM69" s="80" t="n">
        <f aca="false">SUM(AM59:AM68)</f>
        <v>672</v>
      </c>
      <c r="AN69" s="80" t="n">
        <f aca="false">SUM(AN59:AN68)</f>
        <v>672</v>
      </c>
      <c r="AO69" s="80" t="n">
        <f aca="false">SUM(AO59:AO68)</f>
        <v>672</v>
      </c>
      <c r="AP69" s="52"/>
      <c r="AQ69" s="71"/>
      <c r="AR69" s="52"/>
      <c r="BA69" s="49"/>
      <c r="BB69" s="70" t="str">
        <f aca="false">B69</f>
        <v>      Total Current Liabilities</v>
      </c>
      <c r="BC69" s="80" t="n">
        <f aca="false">SUM(BC59:BC68)</f>
        <v>280</v>
      </c>
      <c r="BD69" s="80" t="n">
        <f aca="false">SUM(BD59:BD68)</f>
        <v>280</v>
      </c>
      <c r="BE69" s="80" t="n">
        <f aca="false">SUM(BE59:BE68)</f>
        <v>280</v>
      </c>
      <c r="BF69" s="80" t="n">
        <f aca="false">SUM(BF59:BF68)</f>
        <v>280</v>
      </c>
      <c r="BG69" s="80" t="n">
        <f aca="false">SUM(BG59:BG68)</f>
        <v>280</v>
      </c>
      <c r="BH69" s="80" t="n">
        <f aca="false">SUM(BH59:BH68)</f>
        <v>280</v>
      </c>
      <c r="BI69" s="80" t="n">
        <f aca="false">SUM(BI59:BI68)</f>
        <v>280</v>
      </c>
      <c r="BJ69" s="80" t="n">
        <f aca="false">SUM(BJ59:BJ68)</f>
        <v>280</v>
      </c>
      <c r="BK69" s="80" t="n">
        <f aca="false">SUM(BK59:BK68)</f>
        <v>280</v>
      </c>
      <c r="BL69" s="80" t="n">
        <f aca="false">SUM(BL59:BL68)</f>
        <v>280</v>
      </c>
      <c r="BM69" s="80" t="n">
        <f aca="false">SUM(BM59:BM68)</f>
        <v>280</v>
      </c>
      <c r="BN69" s="80" t="n">
        <f aca="false">SUM(BN59:BN68)</f>
        <v>280</v>
      </c>
      <c r="BO69" s="80" t="n">
        <f aca="false">SUM(BO59:BO68)</f>
        <v>280</v>
      </c>
      <c r="CA69" s="49"/>
      <c r="CB69" s="70" t="str">
        <f aca="false">B69</f>
        <v>      Total Current Liabilities</v>
      </c>
      <c r="CC69" s="80" t="n">
        <f aca="false">SUM(CC59:CC68)</f>
        <v>164080</v>
      </c>
      <c r="CD69" s="80" t="n">
        <f aca="false">SUM(CD59:CD68)</f>
        <v>224132</v>
      </c>
      <c r="CE69" s="80" t="n">
        <f aca="false">SUM(CE59:CE68)</f>
        <v>172271</v>
      </c>
      <c r="CF69" s="80" t="n">
        <f aca="false">SUM(CF59:CF68)</f>
        <v>164975</v>
      </c>
      <c r="CG69" s="80" t="n">
        <f aca="false">SUM(CG59:CG68)</f>
        <v>157338</v>
      </c>
      <c r="CH69" s="80" t="n">
        <f aca="false">SUM(CH59:CH68)</f>
        <v>140546</v>
      </c>
      <c r="CI69" s="80" t="n">
        <f aca="false">SUM(CI59:CI68)</f>
        <v>135744</v>
      </c>
      <c r="CJ69" s="80" t="n">
        <f aca="false">SUM(CJ59:CJ68)</f>
        <v>119004</v>
      </c>
      <c r="CK69" s="80" t="n">
        <f aca="false">SUM(CK59:CK68)</f>
        <v>127212</v>
      </c>
      <c r="CL69" s="80" t="n">
        <f aca="false">SUM(CL59:CL68)</f>
        <v>126218</v>
      </c>
      <c r="CM69" s="80" t="n">
        <f aca="false">SUM(CM59:CM68)</f>
        <v>125908</v>
      </c>
      <c r="CN69" s="80" t="n">
        <f aca="false">SUM(CN59:CN68)</f>
        <v>121741</v>
      </c>
      <c r="CO69" s="80" t="n">
        <f aca="false">SUM(CO59:CO68)</f>
        <v>102341</v>
      </c>
      <c r="CP69" s="52"/>
    </row>
    <row r="70" customFormat="false" ht="12.75" hidden="false" customHeight="false" outlineLevel="0" collapsed="false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BA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</row>
    <row r="71" customFormat="false" ht="12.75" hidden="false" customHeight="false" outlineLevel="0" collapsed="false">
      <c r="A71" s="49"/>
      <c r="B71" s="70" t="s">
        <v>348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49"/>
      <c r="AB71" s="70" t="str">
        <f aca="false">B71</f>
        <v>DEFERRED CREDITS AND OTHER LIABILITIES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71"/>
      <c r="AR71" s="52"/>
      <c r="BA71" s="49"/>
      <c r="BB71" s="70" t="str">
        <f aca="false">B71</f>
        <v>DEFERRED CREDITS AND OTHER LIABILITIES</v>
      </c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CA71" s="49"/>
      <c r="CB71" s="70" t="str">
        <f aca="false">B71</f>
        <v>DEFERRED CREDITS AND OTHER LIABILITIES</v>
      </c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</row>
    <row r="72" customFormat="false" ht="12.75" hidden="false" customHeight="false" outlineLevel="0" collapsed="false">
      <c r="A72" s="72" t="s">
        <v>349</v>
      </c>
      <c r="B72" s="73" t="s">
        <v>350</v>
      </c>
      <c r="C72" s="71" t="n">
        <f aca="false">BACKUP!C386</f>
        <v>289220</v>
      </c>
      <c r="D72" s="71" t="n">
        <f aca="false">BACKUP!D386</f>
        <v>292382</v>
      </c>
      <c r="E72" s="71" t="n">
        <f aca="false">BACKUP!E386</f>
        <v>292531</v>
      </c>
      <c r="F72" s="71" t="n">
        <f aca="false">BACKUP!F386</f>
        <v>291319</v>
      </c>
      <c r="G72" s="71" t="n">
        <f aca="false">BACKUP!G386</f>
        <v>314660</v>
      </c>
      <c r="H72" s="71" t="n">
        <f aca="false">BACKUP!H386</f>
        <v>316234</v>
      </c>
      <c r="I72" s="71" t="n">
        <f aca="false">BACKUP!I386</f>
        <v>313249</v>
      </c>
      <c r="J72" s="71" t="n">
        <f aca="false">BACKUP!J386</f>
        <v>314108</v>
      </c>
      <c r="K72" s="71" t="n">
        <f aca="false">BACKUP!K386</f>
        <v>317447</v>
      </c>
      <c r="L72" s="71" t="n">
        <f aca="false">BACKUP!L386</f>
        <v>319654</v>
      </c>
      <c r="M72" s="71" t="n">
        <f aca="false">BACKUP!M386</f>
        <v>307840</v>
      </c>
      <c r="N72" s="71" t="n">
        <f aca="false">BACKUP!N386</f>
        <v>306519</v>
      </c>
      <c r="O72" s="71" t="n">
        <f aca="false">BACKUP!O386</f>
        <v>307178</v>
      </c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72" t="str">
        <f aca="false">A72</f>
        <v>D</v>
      </c>
      <c r="AB72" s="73" t="str">
        <f aca="false">B72</f>
        <v>   Deferred Income Taxes</v>
      </c>
      <c r="AC72" s="74" t="n">
        <v>6287</v>
      </c>
      <c r="AD72" s="77" t="n">
        <f aca="false">AC72+[1]IncomeState!C153</f>
        <v>6203</v>
      </c>
      <c r="AE72" s="76" t="n">
        <f aca="false">AD72+[1]IncomeState!D153-1</f>
        <v>6118</v>
      </c>
      <c r="AF72" s="76" t="n">
        <f aca="false">AE72+[1]IncomeState!E153-63</f>
        <v>5970</v>
      </c>
      <c r="AG72" s="77" t="n">
        <f aca="false">AF72+[1]IncomeState!F153</f>
        <v>5885</v>
      </c>
      <c r="AH72" s="77" t="n">
        <f aca="false">AG72+[1]IncomeState!G153</f>
        <v>5801</v>
      </c>
      <c r="AI72" s="77" t="n">
        <f aca="false">AH72+[1]IncomeState!H153</f>
        <v>5716</v>
      </c>
      <c r="AJ72" s="77" t="n">
        <f aca="false">AI72+[1]IncomeState!I153</f>
        <v>5632</v>
      </c>
      <c r="AK72" s="77" t="n">
        <f aca="false">AJ72+[1]IncomeState!J153</f>
        <v>5547</v>
      </c>
      <c r="AL72" s="77" t="n">
        <f aca="false">AK72+[1]IncomeState!K153</f>
        <v>5463</v>
      </c>
      <c r="AM72" s="77" t="n">
        <f aca="false">AL72+[1]IncomeState!L153</f>
        <v>5335</v>
      </c>
      <c r="AN72" s="77" t="n">
        <f aca="false">AM72+[1]IncomeState!M153</f>
        <v>5200</v>
      </c>
      <c r="AO72" s="77" t="n">
        <f aca="false">AN72+[1]IncomeState!N153</f>
        <v>5194</v>
      </c>
      <c r="AP72" s="52"/>
      <c r="AQ72" s="71"/>
      <c r="AR72" s="52"/>
      <c r="BA72" s="72" t="str">
        <f aca="false">AA72</f>
        <v>D</v>
      </c>
      <c r="BB72" s="73" t="str">
        <f aca="false">B72</f>
        <v>   Deferred Income Taxes</v>
      </c>
      <c r="BC72" s="74" t="n">
        <v>3380</v>
      </c>
      <c r="BD72" s="76" t="n">
        <f aca="false">BC72+[1]DeferredTax!R$71-1</f>
        <v>3370</v>
      </c>
      <c r="BE72" s="77" t="n">
        <f aca="false">BD72+[1]DeferredTax!S$71</f>
        <v>3361</v>
      </c>
      <c r="BF72" s="77" t="n">
        <f aca="false">BE72+[1]DeferredTax!T$71</f>
        <v>3352</v>
      </c>
      <c r="BG72" s="77" t="n">
        <f aca="false">BF72+[1]DeferredTax!U$71</f>
        <v>3343</v>
      </c>
      <c r="BH72" s="77" t="n">
        <f aca="false">BG72+[1]DeferredTax!V$71</f>
        <v>3334</v>
      </c>
      <c r="BI72" s="77" t="n">
        <f aca="false">BH72+[1]DeferredTax!W$71</f>
        <v>3324</v>
      </c>
      <c r="BJ72" s="77" t="n">
        <f aca="false">BI72+[1]DeferredTax!X$71</f>
        <v>3315</v>
      </c>
      <c r="BK72" s="77" t="n">
        <f aca="false">BJ72+[1]DeferredTax!Y$71</f>
        <v>3306</v>
      </c>
      <c r="BL72" s="77" t="n">
        <f aca="false">BK72+[1]DeferredTax!Z$71</f>
        <v>3297</v>
      </c>
      <c r="BM72" s="77" t="n">
        <f aca="false">BL72+[1]DeferredTax!AA$71</f>
        <v>3288</v>
      </c>
      <c r="BN72" s="77" t="n">
        <f aca="false">BM72+[1]DeferredTax!AB$71</f>
        <v>3279</v>
      </c>
      <c r="BO72" s="77" t="n">
        <f aca="false">BN72+[1]DeferredTax!AC$71</f>
        <v>3270</v>
      </c>
      <c r="CA72" s="72" t="str">
        <f aca="false">A72</f>
        <v>D</v>
      </c>
      <c r="CB72" s="73" t="str">
        <f aca="false">B72</f>
        <v>   Deferred Income Taxes</v>
      </c>
      <c r="CC72" s="75" t="n">
        <f aca="false">C72-AC72-BC72</f>
        <v>279553</v>
      </c>
      <c r="CD72" s="75" t="n">
        <f aca="false">D72-AD72-BD72</f>
        <v>282809</v>
      </c>
      <c r="CE72" s="75" t="n">
        <f aca="false">E72-AE72-BE72</f>
        <v>283052</v>
      </c>
      <c r="CF72" s="75" t="n">
        <f aca="false">F72-AF72-BF72</f>
        <v>281997</v>
      </c>
      <c r="CG72" s="75" t="n">
        <f aca="false">G72-AG72-BG72</f>
        <v>305432</v>
      </c>
      <c r="CH72" s="75" t="n">
        <f aca="false">H72-AH72-BH72</f>
        <v>307099</v>
      </c>
      <c r="CI72" s="75" t="n">
        <f aca="false">I72-AI72-BI72</f>
        <v>304209</v>
      </c>
      <c r="CJ72" s="75" t="n">
        <f aca="false">J72-AJ72-BJ72</f>
        <v>305161</v>
      </c>
      <c r="CK72" s="75" t="n">
        <f aca="false">K72-AK72-BK72</f>
        <v>308594</v>
      </c>
      <c r="CL72" s="75" t="n">
        <f aca="false">L72-AL72-BL72</f>
        <v>310894</v>
      </c>
      <c r="CM72" s="75" t="n">
        <f aca="false">M72-AM72-BM72</f>
        <v>299217</v>
      </c>
      <c r="CN72" s="75" t="n">
        <f aca="false">N72-AN72-BN72</f>
        <v>298040</v>
      </c>
      <c r="CO72" s="75" t="n">
        <f aca="false">O72-AO72-BO72</f>
        <v>298714</v>
      </c>
      <c r="CP72" s="52"/>
    </row>
    <row r="73" customFormat="false" ht="12.75" hidden="false" customHeight="false" outlineLevel="0" collapsed="false">
      <c r="A73" s="72" t="s">
        <v>351</v>
      </c>
      <c r="B73" s="73" t="s">
        <v>352</v>
      </c>
      <c r="C73" s="71" t="n">
        <f aca="false">BACKUP!C436</f>
        <v>0</v>
      </c>
      <c r="D73" s="71" t="n">
        <f aca="false">BACKUP!D436</f>
        <v>0</v>
      </c>
      <c r="E73" s="71" t="n">
        <f aca="false">BACKUP!E436</f>
        <v>0</v>
      </c>
      <c r="F73" s="71" t="n">
        <f aca="false">BACKUP!F436</f>
        <v>0</v>
      </c>
      <c r="G73" s="71" t="n">
        <f aca="false">BACKUP!G436</f>
        <v>0</v>
      </c>
      <c r="H73" s="71" t="n">
        <f aca="false">BACKUP!H436</f>
        <v>0</v>
      </c>
      <c r="I73" s="71" t="n">
        <f aca="false">BACKUP!I436</f>
        <v>0</v>
      </c>
      <c r="J73" s="71" t="n">
        <f aca="false">BACKUP!J436</f>
        <v>0</v>
      </c>
      <c r="K73" s="71" t="n">
        <f aca="false">BACKUP!K436</f>
        <v>0</v>
      </c>
      <c r="L73" s="71" t="n">
        <f aca="false">BACKUP!L436</f>
        <v>0</v>
      </c>
      <c r="M73" s="71" t="n">
        <f aca="false">BACKUP!M436</f>
        <v>0</v>
      </c>
      <c r="N73" s="71" t="n">
        <f aca="false">BACKUP!N436</f>
        <v>0</v>
      </c>
      <c r="O73" s="71" t="n">
        <f aca="false">BACKUP!O436</f>
        <v>0</v>
      </c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72" t="str">
        <f aca="false">A73</f>
        <v>G</v>
      </c>
      <c r="AB73" s="73" t="str">
        <f aca="false">B73</f>
        <v>   Other Regulatory Liabilities</v>
      </c>
      <c r="AC73" s="74" t="n">
        <v>0</v>
      </c>
      <c r="AD73" s="74" t="n">
        <v>0</v>
      </c>
      <c r="AE73" s="74" t="n">
        <v>0</v>
      </c>
      <c r="AF73" s="74" t="n">
        <v>0</v>
      </c>
      <c r="AG73" s="74" t="n">
        <v>0</v>
      </c>
      <c r="AH73" s="74" t="n">
        <v>0</v>
      </c>
      <c r="AI73" s="74" t="n">
        <v>0</v>
      </c>
      <c r="AJ73" s="74" t="n">
        <v>0</v>
      </c>
      <c r="AK73" s="74" t="n">
        <v>0</v>
      </c>
      <c r="AL73" s="74" t="n">
        <v>0</v>
      </c>
      <c r="AM73" s="74" t="n">
        <v>0</v>
      </c>
      <c r="AN73" s="74" t="n">
        <v>0</v>
      </c>
      <c r="AO73" s="74" t="n">
        <v>0</v>
      </c>
      <c r="AP73" s="52"/>
      <c r="AQ73" s="71"/>
      <c r="AR73" s="52"/>
      <c r="BA73" s="72" t="str">
        <f aca="false">AA73</f>
        <v>G</v>
      </c>
      <c r="BB73" s="73" t="str">
        <f aca="false">B73</f>
        <v>   Other Regulatory Liabilities</v>
      </c>
      <c r="BC73" s="74" t="n">
        <v>0</v>
      </c>
      <c r="BD73" s="74" t="n">
        <v>0</v>
      </c>
      <c r="BE73" s="74" t="n">
        <v>0</v>
      </c>
      <c r="BF73" s="74" t="n">
        <v>0</v>
      </c>
      <c r="BG73" s="74" t="n">
        <v>0</v>
      </c>
      <c r="BH73" s="74" t="n">
        <v>0</v>
      </c>
      <c r="BI73" s="74" t="n">
        <v>0</v>
      </c>
      <c r="BJ73" s="74" t="n">
        <v>0</v>
      </c>
      <c r="BK73" s="74" t="n">
        <v>0</v>
      </c>
      <c r="BL73" s="74" t="n">
        <v>0</v>
      </c>
      <c r="BM73" s="74" t="n">
        <v>0</v>
      </c>
      <c r="BN73" s="74" t="n">
        <v>0</v>
      </c>
      <c r="BO73" s="74" t="n">
        <v>0</v>
      </c>
      <c r="CA73" s="72" t="str">
        <f aca="false">A73</f>
        <v>G</v>
      </c>
      <c r="CB73" s="73" t="str">
        <f aca="false">B73</f>
        <v>   Other Regulatory Liabilities</v>
      </c>
      <c r="CC73" s="75" t="n">
        <f aca="false">C73-AC73-BC73</f>
        <v>0</v>
      </c>
      <c r="CD73" s="75" t="n">
        <f aca="false">D73-AD73-BD73</f>
        <v>0</v>
      </c>
      <c r="CE73" s="75" t="n">
        <f aca="false">E73-AE73-BE73</f>
        <v>0</v>
      </c>
      <c r="CF73" s="75" t="n">
        <f aca="false">F73-AF73-BF73</f>
        <v>0</v>
      </c>
      <c r="CG73" s="75" t="n">
        <f aca="false">G73-AG73-BG73</f>
        <v>0</v>
      </c>
      <c r="CH73" s="75" t="n">
        <f aca="false">H73-AH73-BH73</f>
        <v>0</v>
      </c>
      <c r="CI73" s="75" t="n">
        <f aca="false">I73-AI73-BI73</f>
        <v>0</v>
      </c>
      <c r="CJ73" s="75" t="n">
        <f aca="false">J73-AJ73-BJ73</f>
        <v>0</v>
      </c>
      <c r="CK73" s="75" t="n">
        <f aca="false">K73-AK73-BK73</f>
        <v>0</v>
      </c>
      <c r="CL73" s="75" t="n">
        <f aca="false">L73-AL73-BL73</f>
        <v>0</v>
      </c>
      <c r="CM73" s="75" t="n">
        <f aca="false">M73-AM73-BM73</f>
        <v>0</v>
      </c>
      <c r="CN73" s="75" t="n">
        <f aca="false">N73-AN73-BN73</f>
        <v>0</v>
      </c>
      <c r="CO73" s="75" t="n">
        <f aca="false">O73-AO73-BO73</f>
        <v>0</v>
      </c>
      <c r="CP73" s="52"/>
    </row>
    <row r="74" customFormat="false" ht="12.75" hidden="false" customHeight="false" outlineLevel="0" collapsed="false">
      <c r="A74" s="72" t="s">
        <v>344</v>
      </c>
      <c r="B74" s="73" t="s">
        <v>338</v>
      </c>
      <c r="C74" s="71" t="n">
        <f aca="false">BACKUP!C458</f>
        <v>12759</v>
      </c>
      <c r="D74" s="71" t="n">
        <f aca="false">BACKUP!D458</f>
        <v>17580</v>
      </c>
      <c r="E74" s="71" t="n">
        <f aca="false">BACKUP!E458</f>
        <v>24079</v>
      </c>
      <c r="F74" s="71" t="n">
        <f aca="false">BACKUP!F458</f>
        <v>21841</v>
      </c>
      <c r="G74" s="71" t="n">
        <f aca="false">BACKUP!G458</f>
        <v>23550</v>
      </c>
      <c r="H74" s="71" t="n">
        <f aca="false">BACKUP!H458</f>
        <v>11813</v>
      </c>
      <c r="I74" s="71" t="n">
        <f aca="false">BACKUP!I458</f>
        <v>1245</v>
      </c>
      <c r="J74" s="71" t="n">
        <f aca="false">BACKUP!J458</f>
        <v>2910</v>
      </c>
      <c r="K74" s="71" t="n">
        <f aca="false">BACKUP!K458</f>
        <v>2910</v>
      </c>
      <c r="L74" s="71" t="n">
        <f aca="false">BACKUP!L458</f>
        <v>2910</v>
      </c>
      <c r="M74" s="71" t="n">
        <f aca="false">BACKUP!M458</f>
        <v>2910</v>
      </c>
      <c r="N74" s="71" t="n">
        <f aca="false">BACKUP!N458</f>
        <v>2910</v>
      </c>
      <c r="O74" s="71" t="n">
        <f aca="false">BACKUP!O458</f>
        <v>2910</v>
      </c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72" t="str">
        <f aca="false">A74</f>
        <v>F</v>
      </c>
      <c r="AB74" s="73" t="str">
        <f aca="false">B74</f>
        <v>   Liability Price Risk Management</v>
      </c>
      <c r="AC74" s="74" t="n">
        <v>0</v>
      </c>
      <c r="AD74" s="74" t="n">
        <v>0</v>
      </c>
      <c r="AE74" s="74" t="n">
        <v>0</v>
      </c>
      <c r="AF74" s="74" t="n">
        <v>0</v>
      </c>
      <c r="AG74" s="74" t="n">
        <v>0</v>
      </c>
      <c r="AH74" s="74" t="n">
        <v>0</v>
      </c>
      <c r="AI74" s="74" t="n">
        <v>0</v>
      </c>
      <c r="AJ74" s="74" t="n">
        <v>0</v>
      </c>
      <c r="AK74" s="74" t="n">
        <v>0</v>
      </c>
      <c r="AL74" s="74" t="n">
        <v>0</v>
      </c>
      <c r="AM74" s="74" t="n">
        <v>0</v>
      </c>
      <c r="AN74" s="74" t="n">
        <v>0</v>
      </c>
      <c r="AO74" s="74" t="n">
        <v>0</v>
      </c>
      <c r="AP74" s="52"/>
      <c r="AQ74" s="71"/>
      <c r="AR74" s="52"/>
      <c r="BA74" s="72" t="str">
        <f aca="false">AA74</f>
        <v>F</v>
      </c>
      <c r="BB74" s="73" t="str">
        <f aca="false">B74</f>
        <v>   Liability Price Risk Management</v>
      </c>
      <c r="BC74" s="74" t="n">
        <v>0</v>
      </c>
      <c r="BD74" s="74" t="n">
        <v>0</v>
      </c>
      <c r="BE74" s="74" t="n">
        <v>0</v>
      </c>
      <c r="BF74" s="74" t="n">
        <v>0</v>
      </c>
      <c r="BG74" s="74" t="n">
        <v>0</v>
      </c>
      <c r="BH74" s="74" t="n">
        <v>0</v>
      </c>
      <c r="BI74" s="74" t="n">
        <v>0</v>
      </c>
      <c r="BJ74" s="74" t="n">
        <v>0</v>
      </c>
      <c r="BK74" s="74" t="n">
        <v>0</v>
      </c>
      <c r="BL74" s="74" t="n">
        <v>0</v>
      </c>
      <c r="BM74" s="74" t="n">
        <v>0</v>
      </c>
      <c r="BN74" s="74" t="n">
        <v>0</v>
      </c>
      <c r="BO74" s="74" t="n">
        <v>0</v>
      </c>
      <c r="CA74" s="72" t="str">
        <f aca="false">A74</f>
        <v>F</v>
      </c>
      <c r="CB74" s="73" t="str">
        <f aca="false">B74</f>
        <v>   Liability Price Risk Management</v>
      </c>
      <c r="CC74" s="75" t="n">
        <f aca="false">C74-AC74-BC74</f>
        <v>12759</v>
      </c>
      <c r="CD74" s="75" t="n">
        <f aca="false">D74-AD74-BD74</f>
        <v>17580</v>
      </c>
      <c r="CE74" s="75" t="n">
        <f aca="false">E74-AE74-BE74</f>
        <v>24079</v>
      </c>
      <c r="CF74" s="75" t="n">
        <f aca="false">F74-AF74-BF74</f>
        <v>21841</v>
      </c>
      <c r="CG74" s="75" t="n">
        <f aca="false">G74-AG74-BG74</f>
        <v>23550</v>
      </c>
      <c r="CH74" s="75" t="n">
        <f aca="false">H74-AH74-BH74</f>
        <v>11813</v>
      </c>
      <c r="CI74" s="75" t="n">
        <f aca="false">I74-AI74-BI74</f>
        <v>1245</v>
      </c>
      <c r="CJ74" s="75" t="n">
        <f aca="false">J74-AJ74-BJ74</f>
        <v>2910</v>
      </c>
      <c r="CK74" s="75" t="n">
        <f aca="false">K74-AK74-BK74</f>
        <v>2910</v>
      </c>
      <c r="CL74" s="75" t="n">
        <f aca="false">L74-AL74-BL74</f>
        <v>2910</v>
      </c>
      <c r="CM74" s="75" t="n">
        <f aca="false">M74-AM74-BM74</f>
        <v>2910</v>
      </c>
      <c r="CN74" s="75" t="n">
        <f aca="false">N74-AN74-BN74</f>
        <v>2910</v>
      </c>
      <c r="CO74" s="75" t="n">
        <f aca="false">O74-AO74-BO74</f>
        <v>2910</v>
      </c>
      <c r="CP74" s="52"/>
    </row>
    <row r="75" customFormat="false" ht="12.75" hidden="false" customHeight="false" outlineLevel="0" collapsed="false">
      <c r="A75" s="72" t="s">
        <v>346</v>
      </c>
      <c r="B75" s="73" t="s">
        <v>41</v>
      </c>
      <c r="C75" s="80" t="n">
        <f aca="false">BACKUP!C448</f>
        <v>1829</v>
      </c>
      <c r="D75" s="80" t="n">
        <f aca="false">BACKUP!D448</f>
        <v>1828</v>
      </c>
      <c r="E75" s="80" t="n">
        <f aca="false">BACKUP!E448</f>
        <v>1828</v>
      </c>
      <c r="F75" s="80" t="n">
        <f aca="false">BACKUP!F448</f>
        <v>1830</v>
      </c>
      <c r="G75" s="80" t="n">
        <f aca="false">BACKUP!G448</f>
        <v>1825</v>
      </c>
      <c r="H75" s="80" t="n">
        <f aca="false">BACKUP!H448</f>
        <v>1827</v>
      </c>
      <c r="I75" s="80" t="n">
        <f aca="false">BACKUP!I448</f>
        <v>1830</v>
      </c>
      <c r="J75" s="80" t="n">
        <f aca="false">BACKUP!J448</f>
        <v>1830</v>
      </c>
      <c r="K75" s="80" t="n">
        <f aca="false">BACKUP!K448</f>
        <v>1830</v>
      </c>
      <c r="L75" s="80" t="n">
        <f aca="false">BACKUP!L448</f>
        <v>1830</v>
      </c>
      <c r="M75" s="80" t="n">
        <f aca="false">BACKUP!M448</f>
        <v>1918</v>
      </c>
      <c r="N75" s="80" t="n">
        <f aca="false">BACKUP!N448</f>
        <v>1918</v>
      </c>
      <c r="O75" s="80" t="n">
        <f aca="false">BACKUP!O448</f>
        <v>932</v>
      </c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72" t="str">
        <f aca="false">A75</f>
        <v>H</v>
      </c>
      <c r="AB75" s="73" t="str">
        <f aca="false">B75</f>
        <v>   Other</v>
      </c>
      <c r="AC75" s="81" t="n">
        <v>0</v>
      </c>
      <c r="AD75" s="81" t="n">
        <v>0</v>
      </c>
      <c r="AE75" s="81" t="n">
        <v>0</v>
      </c>
      <c r="AF75" s="81" t="n">
        <v>0</v>
      </c>
      <c r="AG75" s="81" t="n">
        <v>0</v>
      </c>
      <c r="AH75" s="81" t="n">
        <v>0</v>
      </c>
      <c r="AI75" s="81" t="n">
        <v>0</v>
      </c>
      <c r="AJ75" s="81" t="n">
        <v>0</v>
      </c>
      <c r="AK75" s="81" t="n">
        <v>0</v>
      </c>
      <c r="AL75" s="81" t="n">
        <v>0</v>
      </c>
      <c r="AM75" s="81" t="n">
        <v>0</v>
      </c>
      <c r="AN75" s="81" t="n">
        <v>0</v>
      </c>
      <c r="AO75" s="81" t="n">
        <v>0</v>
      </c>
      <c r="AP75" s="52"/>
      <c r="AQ75" s="71"/>
      <c r="AR75" s="52"/>
      <c r="BA75" s="72" t="str">
        <f aca="false">AA75</f>
        <v>H</v>
      </c>
      <c r="BB75" s="73" t="str">
        <f aca="false">B75</f>
        <v>   Other</v>
      </c>
      <c r="BC75" s="81" t="n">
        <v>0</v>
      </c>
      <c r="BD75" s="81" t="n">
        <v>0</v>
      </c>
      <c r="BE75" s="81" t="n">
        <v>0</v>
      </c>
      <c r="BF75" s="81" t="n">
        <v>0</v>
      </c>
      <c r="BG75" s="81" t="n">
        <v>0</v>
      </c>
      <c r="BH75" s="81" t="n">
        <v>0</v>
      </c>
      <c r="BI75" s="81" t="n">
        <v>0</v>
      </c>
      <c r="BJ75" s="81" t="n">
        <v>0</v>
      </c>
      <c r="BK75" s="81" t="n">
        <v>0</v>
      </c>
      <c r="BL75" s="81" t="n">
        <v>0</v>
      </c>
      <c r="BM75" s="81" t="n">
        <v>0</v>
      </c>
      <c r="BN75" s="81" t="n">
        <v>0</v>
      </c>
      <c r="BO75" s="81" t="n">
        <v>0</v>
      </c>
      <c r="CA75" s="72" t="str">
        <f aca="false">A75</f>
        <v>H</v>
      </c>
      <c r="CB75" s="73" t="str">
        <f aca="false">B75</f>
        <v>   Other</v>
      </c>
      <c r="CC75" s="82" t="n">
        <f aca="false">C75-AC75-BC75</f>
        <v>1829</v>
      </c>
      <c r="CD75" s="82" t="n">
        <f aca="false">D75-AD75-BD75</f>
        <v>1828</v>
      </c>
      <c r="CE75" s="82" t="n">
        <f aca="false">E75-AE75-BE75</f>
        <v>1828</v>
      </c>
      <c r="CF75" s="82" t="n">
        <f aca="false">F75-AF75-BF75</f>
        <v>1830</v>
      </c>
      <c r="CG75" s="82" t="n">
        <f aca="false">G75-AG75-BG75</f>
        <v>1825</v>
      </c>
      <c r="CH75" s="82" t="n">
        <f aca="false">H75-AH75-BH75</f>
        <v>1827</v>
      </c>
      <c r="CI75" s="82" t="n">
        <f aca="false">I75-AI75-BI75</f>
        <v>1830</v>
      </c>
      <c r="CJ75" s="82" t="n">
        <f aca="false">J75-AJ75-BJ75</f>
        <v>1830</v>
      </c>
      <c r="CK75" s="82" t="n">
        <f aca="false">K75-AK75-BK75</f>
        <v>1830</v>
      </c>
      <c r="CL75" s="82" t="n">
        <f aca="false">L75-AL75-BL75</f>
        <v>1830</v>
      </c>
      <c r="CM75" s="82" t="n">
        <f aca="false">M75-AM75-BM75</f>
        <v>1918</v>
      </c>
      <c r="CN75" s="82" t="n">
        <f aca="false">N75-AN75-BN75</f>
        <v>1918</v>
      </c>
      <c r="CO75" s="82" t="n">
        <f aca="false">O75-AO75-BO75</f>
        <v>932</v>
      </c>
      <c r="CP75" s="52"/>
    </row>
    <row r="76" customFormat="false" ht="3.95" hidden="false" customHeight="true" outlineLevel="0" collapsed="false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BA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</row>
    <row r="77" customFormat="false" ht="12.75" hidden="false" customHeight="false" outlineLevel="0" collapsed="false">
      <c r="A77" s="49"/>
      <c r="B77" s="70" t="s">
        <v>353</v>
      </c>
      <c r="C77" s="80" t="n">
        <f aca="false">SUM(C72:C76)</f>
        <v>303808</v>
      </c>
      <c r="D77" s="80" t="n">
        <f aca="false">SUM(D72:D76)</f>
        <v>311790</v>
      </c>
      <c r="E77" s="80" t="n">
        <f aca="false">SUM(E72:E76)</f>
        <v>318438</v>
      </c>
      <c r="F77" s="80" t="n">
        <f aca="false">SUM(F72:F76)</f>
        <v>314990</v>
      </c>
      <c r="G77" s="80" t="n">
        <f aca="false">SUM(G72:G76)</f>
        <v>340035</v>
      </c>
      <c r="H77" s="80" t="n">
        <f aca="false">SUM(H72:H76)</f>
        <v>329874</v>
      </c>
      <c r="I77" s="80" t="n">
        <f aca="false">SUM(I72:I76)</f>
        <v>316324</v>
      </c>
      <c r="J77" s="80" t="n">
        <f aca="false">SUM(J72:J76)</f>
        <v>318848</v>
      </c>
      <c r="K77" s="80" t="n">
        <f aca="false">SUM(K72:K76)</f>
        <v>322187</v>
      </c>
      <c r="L77" s="80" t="n">
        <f aca="false">SUM(L72:L76)</f>
        <v>324394</v>
      </c>
      <c r="M77" s="80" t="n">
        <f aca="false">SUM(M72:M76)</f>
        <v>312668</v>
      </c>
      <c r="N77" s="80" t="n">
        <f aca="false">SUM(N72:N76)</f>
        <v>311347</v>
      </c>
      <c r="O77" s="80" t="n">
        <f aca="false">SUM(O72:O76)</f>
        <v>311020</v>
      </c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49"/>
      <c r="AB77" s="70" t="str">
        <f aca="false">B77</f>
        <v>      Total Deferred Credits &amp; Other Liabilities</v>
      </c>
      <c r="AC77" s="80" t="n">
        <f aca="false">SUM(AC72:AC76)</f>
        <v>6287</v>
      </c>
      <c r="AD77" s="80" t="n">
        <f aca="false">SUM(AD72:AD76)</f>
        <v>6203</v>
      </c>
      <c r="AE77" s="80" t="n">
        <f aca="false">SUM(AE72:AE76)</f>
        <v>6118</v>
      </c>
      <c r="AF77" s="80" t="n">
        <f aca="false">SUM(AF72:AF76)</f>
        <v>5970</v>
      </c>
      <c r="AG77" s="80" t="n">
        <f aca="false">SUM(AG72:AG76)</f>
        <v>5885</v>
      </c>
      <c r="AH77" s="80" t="n">
        <f aca="false">SUM(AH72:AH76)</f>
        <v>5801</v>
      </c>
      <c r="AI77" s="80" t="n">
        <f aca="false">SUM(AI72:AI76)</f>
        <v>5716</v>
      </c>
      <c r="AJ77" s="80" t="n">
        <f aca="false">SUM(AJ72:AJ76)</f>
        <v>5632</v>
      </c>
      <c r="AK77" s="80" t="n">
        <f aca="false">SUM(AK72:AK76)</f>
        <v>5547</v>
      </c>
      <c r="AL77" s="80" t="n">
        <f aca="false">SUM(AL72:AL76)</f>
        <v>5463</v>
      </c>
      <c r="AM77" s="80" t="n">
        <f aca="false">SUM(AM72:AM76)</f>
        <v>5335</v>
      </c>
      <c r="AN77" s="80" t="n">
        <f aca="false">SUM(AN72:AN76)</f>
        <v>5200</v>
      </c>
      <c r="AO77" s="80" t="n">
        <f aca="false">SUM(AO72:AO76)</f>
        <v>5194</v>
      </c>
      <c r="AP77" s="52"/>
      <c r="AQ77" s="71"/>
      <c r="AR77" s="52"/>
      <c r="BA77" s="49"/>
      <c r="BB77" s="70" t="str">
        <f aca="false">B77</f>
        <v>      Total Deferred Credits &amp; Other Liabilities</v>
      </c>
      <c r="BC77" s="80" t="n">
        <f aca="false">SUM(BC72:BC76)</f>
        <v>3380</v>
      </c>
      <c r="BD77" s="80" t="n">
        <f aca="false">SUM(BD72:BD76)</f>
        <v>3370</v>
      </c>
      <c r="BE77" s="80" t="n">
        <f aca="false">SUM(BE72:BE76)</f>
        <v>3361</v>
      </c>
      <c r="BF77" s="80" t="n">
        <f aca="false">SUM(BF72:BF76)</f>
        <v>3352</v>
      </c>
      <c r="BG77" s="80" t="n">
        <f aca="false">SUM(BG72:BG76)</f>
        <v>3343</v>
      </c>
      <c r="BH77" s="80" t="n">
        <f aca="false">SUM(BH72:BH76)</f>
        <v>3334</v>
      </c>
      <c r="BI77" s="80" t="n">
        <f aca="false">SUM(BI72:BI76)</f>
        <v>3324</v>
      </c>
      <c r="BJ77" s="80" t="n">
        <f aca="false">SUM(BJ72:BJ76)</f>
        <v>3315</v>
      </c>
      <c r="BK77" s="80" t="n">
        <f aca="false">SUM(BK72:BK76)</f>
        <v>3306</v>
      </c>
      <c r="BL77" s="80" t="n">
        <f aca="false">SUM(BL72:BL76)</f>
        <v>3297</v>
      </c>
      <c r="BM77" s="80" t="n">
        <f aca="false">SUM(BM72:BM76)</f>
        <v>3288</v>
      </c>
      <c r="BN77" s="80" t="n">
        <f aca="false">SUM(BN72:BN76)</f>
        <v>3279</v>
      </c>
      <c r="BO77" s="80" t="n">
        <f aca="false">SUM(BO72:BO76)</f>
        <v>3270</v>
      </c>
      <c r="CA77" s="49"/>
      <c r="CB77" s="70" t="str">
        <f aca="false">B77</f>
        <v>      Total Deferred Credits &amp; Other Liabilities</v>
      </c>
      <c r="CC77" s="80" t="n">
        <f aca="false">SUM(CC72:CC76)</f>
        <v>294141</v>
      </c>
      <c r="CD77" s="80" t="n">
        <f aca="false">SUM(CD72:CD76)</f>
        <v>302217</v>
      </c>
      <c r="CE77" s="80" t="n">
        <f aca="false">SUM(CE72:CE76)</f>
        <v>308959</v>
      </c>
      <c r="CF77" s="80" t="n">
        <f aca="false">SUM(CF72:CF76)</f>
        <v>305668</v>
      </c>
      <c r="CG77" s="80" t="n">
        <f aca="false">SUM(CG72:CG76)</f>
        <v>330807</v>
      </c>
      <c r="CH77" s="80" t="n">
        <f aca="false">SUM(CH72:CH76)</f>
        <v>320739</v>
      </c>
      <c r="CI77" s="80" t="n">
        <f aca="false">SUM(CI72:CI76)</f>
        <v>307284</v>
      </c>
      <c r="CJ77" s="80" t="n">
        <f aca="false">SUM(CJ72:CJ76)</f>
        <v>309901</v>
      </c>
      <c r="CK77" s="80" t="n">
        <f aca="false">SUM(CK72:CK76)</f>
        <v>313334</v>
      </c>
      <c r="CL77" s="80" t="n">
        <f aca="false">SUM(CL72:CL76)</f>
        <v>315634</v>
      </c>
      <c r="CM77" s="80" t="n">
        <f aca="false">SUM(CM72:CM76)</f>
        <v>304045</v>
      </c>
      <c r="CN77" s="80" t="n">
        <f aca="false">SUM(CN72:CN76)</f>
        <v>302868</v>
      </c>
      <c r="CO77" s="80" t="n">
        <f aca="false">SUM(CO72:CO76)</f>
        <v>302556</v>
      </c>
      <c r="CP77" s="52"/>
    </row>
    <row r="78" customFormat="false" ht="12.75" hidden="false" customHeight="false" outlineLevel="0" collapsed="false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BA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</row>
    <row r="79" customFormat="false" ht="12.75" hidden="false" customHeight="false" outlineLevel="0" collapsed="false">
      <c r="A79" s="49"/>
      <c r="B79" s="70" t="s">
        <v>354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49"/>
      <c r="AB79" s="70" t="str">
        <f aca="false">B79</f>
        <v>DEBT </v>
      </c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52"/>
      <c r="AQ79" s="71"/>
      <c r="AR79" s="52"/>
      <c r="BA79" s="49"/>
      <c r="BB79" s="70" t="str">
        <f aca="false">B79</f>
        <v>DEBT </v>
      </c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CA79" s="49"/>
      <c r="CB79" s="70" t="str">
        <f aca="false">B79</f>
        <v>DEBT </v>
      </c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52"/>
    </row>
    <row r="80" customFormat="false" ht="12.75" hidden="false" customHeight="false" outlineLevel="0" collapsed="false">
      <c r="A80" s="72" t="s">
        <v>302</v>
      </c>
      <c r="B80" s="73" t="s">
        <v>355</v>
      </c>
      <c r="C80" s="74" t="n">
        <v>0</v>
      </c>
      <c r="D80" s="74" t="n">
        <v>0</v>
      </c>
      <c r="E80" s="74" t="n">
        <v>0</v>
      </c>
      <c r="F80" s="74" t="n">
        <v>0</v>
      </c>
      <c r="G80" s="74" t="n">
        <v>0</v>
      </c>
      <c r="H80" s="74" t="n">
        <v>0</v>
      </c>
      <c r="I80" s="74" t="n">
        <v>0</v>
      </c>
      <c r="J80" s="74" t="n">
        <v>0</v>
      </c>
      <c r="K80" s="74" t="n">
        <v>0</v>
      </c>
      <c r="L80" s="74" t="n">
        <v>0</v>
      </c>
      <c r="M80" s="74" t="n">
        <v>0</v>
      </c>
      <c r="N80" s="74" t="n">
        <v>0</v>
      </c>
      <c r="O80" s="74" t="n">
        <v>0</v>
      </c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72" t="str">
        <f aca="false">A80</f>
        <v>I</v>
      </c>
      <c r="AB80" s="73" t="str">
        <f aca="false">B80</f>
        <v>   Payable / (Receivable) from Corporate</v>
      </c>
      <c r="AC80" s="74" t="n">
        <v>0</v>
      </c>
      <c r="AD80" s="74" t="n">
        <v>0</v>
      </c>
      <c r="AE80" s="74" t="n">
        <v>0</v>
      </c>
      <c r="AF80" s="74" t="n">
        <v>0</v>
      </c>
      <c r="AG80" s="74" t="n">
        <v>0</v>
      </c>
      <c r="AH80" s="74" t="n">
        <v>0</v>
      </c>
      <c r="AI80" s="74" t="n">
        <v>0</v>
      </c>
      <c r="AJ80" s="74" t="n">
        <v>0</v>
      </c>
      <c r="AK80" s="74" t="n">
        <v>0</v>
      </c>
      <c r="AL80" s="74" t="n">
        <v>0</v>
      </c>
      <c r="AM80" s="74" t="n">
        <v>0</v>
      </c>
      <c r="AN80" s="74" t="n">
        <v>0</v>
      </c>
      <c r="AO80" s="74" t="n">
        <v>0</v>
      </c>
      <c r="AP80" s="52"/>
      <c r="AQ80" s="71"/>
      <c r="AR80" s="52"/>
      <c r="BA80" s="72" t="str">
        <f aca="false">AA80</f>
        <v>I</v>
      </c>
      <c r="BB80" s="73" t="str">
        <f aca="false">B80</f>
        <v>   Payable / (Receivable) from Corporate</v>
      </c>
      <c r="BC80" s="74" t="n">
        <v>0</v>
      </c>
      <c r="BD80" s="74" t="n">
        <v>0</v>
      </c>
      <c r="BE80" s="74" t="n">
        <v>0</v>
      </c>
      <c r="BF80" s="74" t="n">
        <v>0</v>
      </c>
      <c r="BG80" s="74" t="n">
        <v>0</v>
      </c>
      <c r="BH80" s="74" t="n">
        <v>0</v>
      </c>
      <c r="BI80" s="74" t="n">
        <v>0</v>
      </c>
      <c r="BJ80" s="74" t="n">
        <v>0</v>
      </c>
      <c r="BK80" s="74" t="n">
        <v>0</v>
      </c>
      <c r="BL80" s="74" t="n">
        <v>0</v>
      </c>
      <c r="BM80" s="74" t="n">
        <v>0</v>
      </c>
      <c r="BN80" s="74" t="n">
        <v>0</v>
      </c>
      <c r="BO80" s="74" t="n">
        <v>0</v>
      </c>
      <c r="CA80" s="72" t="str">
        <f aca="false">A80</f>
        <v>I</v>
      </c>
      <c r="CB80" s="73" t="str">
        <f aca="false">B80</f>
        <v>   Payable / (Receivable) from Corporate</v>
      </c>
      <c r="CC80" s="75" t="n">
        <f aca="false">C80-AC80-BC80</f>
        <v>0</v>
      </c>
      <c r="CD80" s="75" t="n">
        <f aca="false">D80-AD80-BD80</f>
        <v>0</v>
      </c>
      <c r="CE80" s="75" t="n">
        <f aca="false">E80-AE80-BE80</f>
        <v>0</v>
      </c>
      <c r="CF80" s="75" t="n">
        <f aca="false">F80-AF80-BF80</f>
        <v>0</v>
      </c>
      <c r="CG80" s="75" t="n">
        <f aca="false">G80-AG80-BG80</f>
        <v>0</v>
      </c>
      <c r="CH80" s="75" t="n">
        <f aca="false">H80-AH80-BH80</f>
        <v>0</v>
      </c>
      <c r="CI80" s="75" t="n">
        <f aca="false">I80-AI80-BI80</f>
        <v>0</v>
      </c>
      <c r="CJ80" s="75" t="n">
        <f aca="false">J80-AJ80-BJ80</f>
        <v>0</v>
      </c>
      <c r="CK80" s="75" t="n">
        <f aca="false">K80-AK80-BK80</f>
        <v>0</v>
      </c>
      <c r="CL80" s="75" t="n">
        <f aca="false">L80-AL80-BL80</f>
        <v>0</v>
      </c>
      <c r="CM80" s="75" t="n">
        <f aca="false">M80-AM80-BM80</f>
        <v>0</v>
      </c>
      <c r="CN80" s="75" t="n">
        <f aca="false">N80-AN80-BN80</f>
        <v>0</v>
      </c>
      <c r="CO80" s="75" t="n">
        <f aca="false">O80-AO80-BO80</f>
        <v>0</v>
      </c>
      <c r="CP80" s="52"/>
    </row>
    <row r="81" customFormat="false" ht="12.75" hidden="false" customHeight="false" outlineLevel="0" collapsed="false">
      <c r="A81" s="72" t="s">
        <v>356</v>
      </c>
      <c r="B81" s="73" t="s">
        <v>357</v>
      </c>
      <c r="C81" s="71" t="n">
        <f aca="false">BACKUP!C485-C82</f>
        <v>499666</v>
      </c>
      <c r="D81" s="71" t="n">
        <f aca="false">BACKUP!D485-D82</f>
        <v>499672</v>
      </c>
      <c r="E81" s="71" t="n">
        <f aca="false">BACKUP!E485-E82</f>
        <v>499678</v>
      </c>
      <c r="F81" s="71" t="n">
        <f aca="false">BACKUP!F485-F82</f>
        <v>499685</v>
      </c>
      <c r="G81" s="71" t="n">
        <f aca="false">BACKUP!G485-G82</f>
        <v>499691</v>
      </c>
      <c r="H81" s="71" t="n">
        <f aca="false">BACKUP!H485-H82</f>
        <v>499698</v>
      </c>
      <c r="I81" s="71" t="n">
        <f aca="false">BACKUP!I485-I82</f>
        <v>499704</v>
      </c>
      <c r="J81" s="71" t="n">
        <f aca="false">BACKUP!J485-J82</f>
        <v>499711</v>
      </c>
      <c r="K81" s="71" t="n">
        <f aca="false">BACKUP!K485-K82</f>
        <v>499717</v>
      </c>
      <c r="L81" s="71" t="n">
        <f aca="false">BACKUP!L485-L82</f>
        <v>499724</v>
      </c>
      <c r="M81" s="71" t="n">
        <f aca="false">BACKUP!M485-M82</f>
        <v>499730</v>
      </c>
      <c r="N81" s="71" t="n">
        <f aca="false">BACKUP!N485-N82</f>
        <v>499737</v>
      </c>
      <c r="O81" s="71" t="n">
        <f aca="false">BACKUP!O485-O82</f>
        <v>499743</v>
      </c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72" t="str">
        <f aca="false">A81</f>
        <v>J</v>
      </c>
      <c r="AB81" s="73" t="str">
        <f aca="false">B81</f>
        <v>   Long-term Debt - External</v>
      </c>
      <c r="AC81" s="74" t="n">
        <v>0</v>
      </c>
      <c r="AD81" s="74" t="n">
        <v>0</v>
      </c>
      <c r="AE81" s="74" t="n">
        <v>0</v>
      </c>
      <c r="AF81" s="74" t="n">
        <v>0</v>
      </c>
      <c r="AG81" s="74" t="n">
        <v>0</v>
      </c>
      <c r="AH81" s="74" t="n">
        <v>0</v>
      </c>
      <c r="AI81" s="74" t="n">
        <v>0</v>
      </c>
      <c r="AJ81" s="74" t="n">
        <v>0</v>
      </c>
      <c r="AK81" s="74" t="n">
        <v>0</v>
      </c>
      <c r="AL81" s="74" t="n">
        <v>0</v>
      </c>
      <c r="AM81" s="74" t="n">
        <v>0</v>
      </c>
      <c r="AN81" s="74" t="n">
        <v>0</v>
      </c>
      <c r="AO81" s="74" t="n">
        <v>0</v>
      </c>
      <c r="AP81" s="52"/>
      <c r="AQ81" s="71"/>
      <c r="AR81" s="52"/>
      <c r="BA81" s="72" t="str">
        <f aca="false">AA81</f>
        <v>J</v>
      </c>
      <c r="BB81" s="73" t="str">
        <f aca="false">B81</f>
        <v>   Long-term Debt - External</v>
      </c>
      <c r="BC81" s="74" t="n">
        <v>0</v>
      </c>
      <c r="BD81" s="74" t="n">
        <v>0</v>
      </c>
      <c r="BE81" s="74" t="n">
        <v>0</v>
      </c>
      <c r="BF81" s="74" t="n">
        <v>0</v>
      </c>
      <c r="BG81" s="74" t="n">
        <v>0</v>
      </c>
      <c r="BH81" s="74" t="n">
        <v>0</v>
      </c>
      <c r="BI81" s="74" t="n">
        <v>0</v>
      </c>
      <c r="BJ81" s="74" t="n">
        <v>0</v>
      </c>
      <c r="BK81" s="74" t="n">
        <v>0</v>
      </c>
      <c r="BL81" s="74" t="n">
        <v>0</v>
      </c>
      <c r="BM81" s="74" t="n">
        <v>0</v>
      </c>
      <c r="BN81" s="74" t="n">
        <v>0</v>
      </c>
      <c r="BO81" s="74" t="n">
        <v>0</v>
      </c>
      <c r="CA81" s="72" t="str">
        <f aca="false">A81</f>
        <v>J</v>
      </c>
      <c r="CB81" s="73" t="str">
        <f aca="false">B81</f>
        <v>   Long-term Debt - External</v>
      </c>
      <c r="CC81" s="75" t="n">
        <f aca="false">C81-AC81-BC81</f>
        <v>499666</v>
      </c>
      <c r="CD81" s="75" t="n">
        <f aca="false">D81-AD81-BD81</f>
        <v>499672</v>
      </c>
      <c r="CE81" s="75" t="n">
        <f aca="false">E81-AE81-BE81</f>
        <v>499678</v>
      </c>
      <c r="CF81" s="75" t="n">
        <f aca="false">F81-AF81-BF81</f>
        <v>499685</v>
      </c>
      <c r="CG81" s="75" t="n">
        <f aca="false">G81-AG81-BG81</f>
        <v>499691</v>
      </c>
      <c r="CH81" s="75" t="n">
        <f aca="false">H81-AH81-BH81</f>
        <v>499698</v>
      </c>
      <c r="CI81" s="75" t="n">
        <f aca="false">I81-AI81-BI81</f>
        <v>499704</v>
      </c>
      <c r="CJ81" s="75" t="n">
        <f aca="false">J81-AJ81-BJ81</f>
        <v>499711</v>
      </c>
      <c r="CK81" s="75" t="n">
        <f aca="false">K81-AK81-BK81</f>
        <v>499717</v>
      </c>
      <c r="CL81" s="75" t="n">
        <f aca="false">L81-AL81-BL81</f>
        <v>499724</v>
      </c>
      <c r="CM81" s="75" t="n">
        <f aca="false">M81-AM81-BM81</f>
        <v>499730</v>
      </c>
      <c r="CN81" s="75" t="n">
        <f aca="false">N81-AN81-BN81</f>
        <v>499737</v>
      </c>
      <c r="CO81" s="75" t="n">
        <f aca="false">O81-AO81-BO81</f>
        <v>499743</v>
      </c>
      <c r="CP81" s="52"/>
    </row>
    <row r="82" customFormat="false" ht="12.75" hidden="false" customHeight="false" outlineLevel="0" collapsed="false">
      <c r="A82" s="72" t="s">
        <v>356</v>
      </c>
      <c r="B82" s="73" t="s">
        <v>358</v>
      </c>
      <c r="C82" s="82" t="n">
        <v>0</v>
      </c>
      <c r="D82" s="82" t="n">
        <v>0</v>
      </c>
      <c r="E82" s="82" t="n">
        <v>0</v>
      </c>
      <c r="F82" s="82" t="n">
        <v>0</v>
      </c>
      <c r="G82" s="82" t="n">
        <v>0</v>
      </c>
      <c r="H82" s="82" t="n">
        <v>0</v>
      </c>
      <c r="I82" s="82" t="n">
        <v>0</v>
      </c>
      <c r="J82" s="82" t="n">
        <v>0</v>
      </c>
      <c r="K82" s="82" t="n">
        <v>0</v>
      </c>
      <c r="L82" s="82" t="n">
        <v>0</v>
      </c>
      <c r="M82" s="82" t="n">
        <v>0</v>
      </c>
      <c r="N82" s="82" t="n">
        <v>0</v>
      </c>
      <c r="O82" s="82" t="n">
        <v>0</v>
      </c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72" t="str">
        <f aca="false">A82</f>
        <v>J</v>
      </c>
      <c r="AB82" s="73" t="str">
        <f aca="false">B82</f>
        <v>                          - Assoc. Companies</v>
      </c>
      <c r="AC82" s="81" t="n">
        <v>0</v>
      </c>
      <c r="AD82" s="81" t="n">
        <v>0</v>
      </c>
      <c r="AE82" s="81" t="n">
        <v>0</v>
      </c>
      <c r="AF82" s="81" t="n">
        <v>0</v>
      </c>
      <c r="AG82" s="81" t="n">
        <v>0</v>
      </c>
      <c r="AH82" s="81" t="n">
        <v>0</v>
      </c>
      <c r="AI82" s="81" t="n">
        <v>0</v>
      </c>
      <c r="AJ82" s="81" t="n">
        <v>0</v>
      </c>
      <c r="AK82" s="81" t="n">
        <v>0</v>
      </c>
      <c r="AL82" s="81" t="n">
        <v>0</v>
      </c>
      <c r="AM82" s="81" t="n">
        <v>0</v>
      </c>
      <c r="AN82" s="81" t="n">
        <v>0</v>
      </c>
      <c r="AO82" s="81" t="n">
        <v>0</v>
      </c>
      <c r="AP82" s="52"/>
      <c r="AQ82" s="52"/>
      <c r="AR82" s="52"/>
      <c r="BA82" s="72" t="str">
        <f aca="false">AA82</f>
        <v>J</v>
      </c>
      <c r="BB82" s="73" t="str">
        <f aca="false">B82</f>
        <v>                          - Assoc. Companies</v>
      </c>
      <c r="BC82" s="81" t="n">
        <v>0</v>
      </c>
      <c r="BD82" s="81" t="n">
        <v>0</v>
      </c>
      <c r="BE82" s="81" t="n">
        <v>0</v>
      </c>
      <c r="BF82" s="81" t="n">
        <v>0</v>
      </c>
      <c r="BG82" s="81" t="n">
        <v>0</v>
      </c>
      <c r="BH82" s="81" t="n">
        <v>0</v>
      </c>
      <c r="BI82" s="81" t="n">
        <v>0</v>
      </c>
      <c r="BJ82" s="81" t="n">
        <v>0</v>
      </c>
      <c r="BK82" s="81" t="n">
        <v>0</v>
      </c>
      <c r="BL82" s="81" t="n">
        <v>0</v>
      </c>
      <c r="BM82" s="81" t="n">
        <v>0</v>
      </c>
      <c r="BN82" s="81" t="n">
        <v>0</v>
      </c>
      <c r="BO82" s="81" t="n">
        <v>0</v>
      </c>
      <c r="CA82" s="72" t="str">
        <f aca="false">A82</f>
        <v>J</v>
      </c>
      <c r="CB82" s="73" t="str">
        <f aca="false">B82</f>
        <v>                          - Assoc. Companies</v>
      </c>
      <c r="CC82" s="82" t="n">
        <f aca="false">C82-AC82-BC82</f>
        <v>0</v>
      </c>
      <c r="CD82" s="82" t="n">
        <f aca="false">D82-AD82-BD82</f>
        <v>0</v>
      </c>
      <c r="CE82" s="82" t="n">
        <f aca="false">E82-AE82-BE82</f>
        <v>0</v>
      </c>
      <c r="CF82" s="82" t="n">
        <f aca="false">F82-AF82-BF82</f>
        <v>0</v>
      </c>
      <c r="CG82" s="82" t="n">
        <f aca="false">G82-AG82-BG82</f>
        <v>0</v>
      </c>
      <c r="CH82" s="82" t="n">
        <f aca="false">H82-AH82-BH82</f>
        <v>0</v>
      </c>
      <c r="CI82" s="82" t="n">
        <f aca="false">I82-AI82-BI82</f>
        <v>0</v>
      </c>
      <c r="CJ82" s="82" t="n">
        <f aca="false">J82-AJ82-BJ82</f>
        <v>0</v>
      </c>
      <c r="CK82" s="82" t="n">
        <f aca="false">K82-AK82-BK82</f>
        <v>0</v>
      </c>
      <c r="CL82" s="82" t="n">
        <f aca="false">L82-AL82-BL82</f>
        <v>0</v>
      </c>
      <c r="CM82" s="82" t="n">
        <f aca="false">M82-AM82-BM82</f>
        <v>0</v>
      </c>
      <c r="CN82" s="82" t="n">
        <f aca="false">N82-AN82-BN82</f>
        <v>0</v>
      </c>
      <c r="CO82" s="82" t="n">
        <f aca="false">O82-AO82-BO82</f>
        <v>0</v>
      </c>
      <c r="CP82" s="52"/>
    </row>
    <row r="83" customFormat="false" ht="3.95" hidden="false" customHeight="true" outlineLevel="0" collapsed="false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BA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</row>
    <row r="84" customFormat="false" ht="12.75" hidden="false" customHeight="false" outlineLevel="0" collapsed="false">
      <c r="A84" s="49"/>
      <c r="B84" s="70" t="s">
        <v>359</v>
      </c>
      <c r="C84" s="80" t="n">
        <f aca="false">SUM(C80:C83)</f>
        <v>499666</v>
      </c>
      <c r="D84" s="80" t="n">
        <f aca="false">SUM(D80:D83)</f>
        <v>499672</v>
      </c>
      <c r="E84" s="80" t="n">
        <f aca="false">SUM(E80:E83)</f>
        <v>499678</v>
      </c>
      <c r="F84" s="80" t="n">
        <f aca="false">SUM(F80:F83)</f>
        <v>499685</v>
      </c>
      <c r="G84" s="80" t="n">
        <f aca="false">SUM(G80:G83)</f>
        <v>499691</v>
      </c>
      <c r="H84" s="80" t="n">
        <f aca="false">SUM(H80:H83)</f>
        <v>499698</v>
      </c>
      <c r="I84" s="80" t="n">
        <f aca="false">SUM(I80:I83)</f>
        <v>499704</v>
      </c>
      <c r="J84" s="80" t="n">
        <f aca="false">SUM(J80:J83)</f>
        <v>499711</v>
      </c>
      <c r="K84" s="80" t="n">
        <f aca="false">SUM(K80:K83)</f>
        <v>499717</v>
      </c>
      <c r="L84" s="80" t="n">
        <f aca="false">SUM(L80:L83)</f>
        <v>499724</v>
      </c>
      <c r="M84" s="80" t="n">
        <f aca="false">SUM(M80:M83)</f>
        <v>499730</v>
      </c>
      <c r="N84" s="80" t="n">
        <f aca="false">SUM(N80:N83)</f>
        <v>499737</v>
      </c>
      <c r="O84" s="80" t="n">
        <f aca="false">SUM(O80:O83)</f>
        <v>499743</v>
      </c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49"/>
      <c r="AB84" s="70" t="str">
        <f aca="false">B84</f>
        <v>      Total Debt</v>
      </c>
      <c r="AC84" s="80" t="n">
        <f aca="false">SUM(AC80:AC83)</f>
        <v>0</v>
      </c>
      <c r="AD84" s="80" t="n">
        <f aca="false">SUM(AD80:AD83)</f>
        <v>0</v>
      </c>
      <c r="AE84" s="80" t="n">
        <f aca="false">SUM(AE80:AE83)</f>
        <v>0</v>
      </c>
      <c r="AF84" s="80" t="n">
        <f aca="false">SUM(AF80:AF83)</f>
        <v>0</v>
      </c>
      <c r="AG84" s="80" t="n">
        <f aca="false">SUM(AG80:AG83)</f>
        <v>0</v>
      </c>
      <c r="AH84" s="80" t="n">
        <f aca="false">SUM(AH80:AH83)</f>
        <v>0</v>
      </c>
      <c r="AI84" s="80" t="n">
        <f aca="false">SUM(AI80:AI83)</f>
        <v>0</v>
      </c>
      <c r="AJ84" s="80" t="n">
        <f aca="false">SUM(AJ80:AJ83)</f>
        <v>0</v>
      </c>
      <c r="AK84" s="80" t="n">
        <f aca="false">SUM(AK80:AK83)</f>
        <v>0</v>
      </c>
      <c r="AL84" s="80" t="n">
        <f aca="false">SUM(AL80:AL83)</f>
        <v>0</v>
      </c>
      <c r="AM84" s="80" t="n">
        <f aca="false">SUM(AM80:AM83)</f>
        <v>0</v>
      </c>
      <c r="AN84" s="80" t="n">
        <f aca="false">SUM(AN80:AN83)</f>
        <v>0</v>
      </c>
      <c r="AO84" s="80" t="n">
        <f aca="false">SUM(AO80:AO83)</f>
        <v>0</v>
      </c>
      <c r="AP84" s="52"/>
      <c r="AQ84" s="52"/>
      <c r="AR84" s="52"/>
      <c r="BA84" s="49"/>
      <c r="BB84" s="70" t="str">
        <f aca="false">B84</f>
        <v>      Total Debt</v>
      </c>
      <c r="BC84" s="80" t="n">
        <f aca="false">SUM(BC80:BC83)</f>
        <v>0</v>
      </c>
      <c r="BD84" s="80" t="n">
        <f aca="false">SUM(BD80:BD83)</f>
        <v>0</v>
      </c>
      <c r="BE84" s="80" t="n">
        <f aca="false">SUM(BE80:BE83)</f>
        <v>0</v>
      </c>
      <c r="BF84" s="80" t="n">
        <f aca="false">SUM(BF80:BF83)</f>
        <v>0</v>
      </c>
      <c r="BG84" s="80" t="n">
        <f aca="false">SUM(BG80:BG83)</f>
        <v>0</v>
      </c>
      <c r="BH84" s="80" t="n">
        <f aca="false">SUM(BH80:BH83)</f>
        <v>0</v>
      </c>
      <c r="BI84" s="80" t="n">
        <f aca="false">SUM(BI80:BI83)</f>
        <v>0</v>
      </c>
      <c r="BJ84" s="80" t="n">
        <f aca="false">SUM(BJ80:BJ83)</f>
        <v>0</v>
      </c>
      <c r="BK84" s="80" t="n">
        <f aca="false">SUM(BK80:BK83)</f>
        <v>0</v>
      </c>
      <c r="BL84" s="80" t="n">
        <f aca="false">SUM(BL80:BL83)</f>
        <v>0</v>
      </c>
      <c r="BM84" s="80" t="n">
        <f aca="false">SUM(BM80:BM83)</f>
        <v>0</v>
      </c>
      <c r="BN84" s="80" t="n">
        <f aca="false">SUM(BN80:BN83)</f>
        <v>0</v>
      </c>
      <c r="BO84" s="80" t="n">
        <f aca="false">SUM(BO80:BO83)</f>
        <v>0</v>
      </c>
      <c r="CA84" s="49"/>
      <c r="CB84" s="70" t="str">
        <f aca="false">B84</f>
        <v>      Total Debt</v>
      </c>
      <c r="CC84" s="80" t="n">
        <f aca="false">SUM(CC80:CC83)</f>
        <v>499666</v>
      </c>
      <c r="CD84" s="80" t="n">
        <f aca="false">SUM(CD80:CD83)</f>
        <v>499672</v>
      </c>
      <c r="CE84" s="80" t="n">
        <f aca="false">SUM(CE80:CE83)</f>
        <v>499678</v>
      </c>
      <c r="CF84" s="80" t="n">
        <f aca="false">SUM(CF80:CF83)</f>
        <v>499685</v>
      </c>
      <c r="CG84" s="80" t="n">
        <f aca="false">SUM(CG80:CG83)</f>
        <v>499691</v>
      </c>
      <c r="CH84" s="80" t="n">
        <f aca="false">SUM(CH80:CH83)</f>
        <v>499698</v>
      </c>
      <c r="CI84" s="80" t="n">
        <f aca="false">SUM(CI80:CI83)</f>
        <v>499704</v>
      </c>
      <c r="CJ84" s="80" t="n">
        <f aca="false">SUM(CJ80:CJ83)</f>
        <v>499711</v>
      </c>
      <c r="CK84" s="80" t="n">
        <f aca="false">SUM(CK80:CK83)</f>
        <v>499717</v>
      </c>
      <c r="CL84" s="80" t="n">
        <f aca="false">SUM(CL80:CL83)</f>
        <v>499724</v>
      </c>
      <c r="CM84" s="80" t="n">
        <f aca="false">SUM(CM80:CM83)</f>
        <v>499730</v>
      </c>
      <c r="CN84" s="80" t="n">
        <f aca="false">SUM(CN80:CN83)</f>
        <v>499737</v>
      </c>
      <c r="CO84" s="80" t="n">
        <f aca="false">SUM(CO80:CO83)</f>
        <v>499743</v>
      </c>
      <c r="CP84" s="52"/>
    </row>
    <row r="85" customFormat="false" ht="12.75" hidden="false" customHeight="fals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BA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</row>
    <row r="86" customFormat="false" ht="12.75" hidden="false" customHeight="false" outlineLevel="0" collapsed="false">
      <c r="A86" s="49"/>
      <c r="B86" s="70" t="s">
        <v>360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49"/>
      <c r="AB86" s="70" t="str">
        <f aca="false">B86</f>
        <v>EQUITY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BA86" s="49"/>
      <c r="BB86" s="70" t="str">
        <f aca="false">B86</f>
        <v>EQUITY</v>
      </c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CA86" s="49"/>
      <c r="CB86" s="70" t="str">
        <f aca="false">B86</f>
        <v>EQUITY</v>
      </c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</row>
    <row r="87" customFormat="false" ht="12.75" hidden="false" customHeight="false" outlineLevel="0" collapsed="false">
      <c r="A87" s="52"/>
      <c r="B87" s="73" t="s">
        <v>361</v>
      </c>
      <c r="C87" s="74" t="n">
        <v>22</v>
      </c>
      <c r="D87" s="74" t="n">
        <v>22</v>
      </c>
      <c r="E87" s="74" t="n">
        <v>22</v>
      </c>
      <c r="F87" s="74" t="n">
        <v>12</v>
      </c>
      <c r="G87" s="74" t="n">
        <v>12</v>
      </c>
      <c r="H87" s="74" t="n">
        <v>12</v>
      </c>
      <c r="I87" s="74" t="n">
        <v>12</v>
      </c>
      <c r="J87" s="74" t="n">
        <v>12</v>
      </c>
      <c r="K87" s="74" t="n">
        <v>12</v>
      </c>
      <c r="L87" s="74" t="n">
        <v>12</v>
      </c>
      <c r="M87" s="74" t="n">
        <v>12</v>
      </c>
      <c r="N87" s="74" t="n">
        <v>12</v>
      </c>
      <c r="O87" s="74" t="n">
        <v>12</v>
      </c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73" t="str">
        <f aca="false">B87</f>
        <v>   Common Stock</v>
      </c>
      <c r="AC87" s="74" t="n">
        <f aca="false">11+10</f>
        <v>21</v>
      </c>
      <c r="AD87" s="77" t="n">
        <f aca="false">AC87</f>
        <v>21</v>
      </c>
      <c r="AE87" s="77" t="n">
        <f aca="false">AD87</f>
        <v>21</v>
      </c>
      <c r="AF87" s="76" t="n">
        <f aca="false">AE87-10</f>
        <v>11</v>
      </c>
      <c r="AG87" s="77" t="n">
        <f aca="false">AF87</f>
        <v>11</v>
      </c>
      <c r="AH87" s="77" t="n">
        <f aca="false">AG87</f>
        <v>11</v>
      </c>
      <c r="AI87" s="77" t="n">
        <f aca="false">AH87</f>
        <v>11</v>
      </c>
      <c r="AJ87" s="77" t="n">
        <f aca="false">AI87</f>
        <v>11</v>
      </c>
      <c r="AK87" s="77" t="n">
        <f aca="false">AJ87</f>
        <v>11</v>
      </c>
      <c r="AL87" s="77" t="n">
        <f aca="false">AK87</f>
        <v>11</v>
      </c>
      <c r="AM87" s="77" t="n">
        <f aca="false">AL87</f>
        <v>11</v>
      </c>
      <c r="AN87" s="77" t="n">
        <f aca="false">AM87</f>
        <v>11</v>
      </c>
      <c r="AO87" s="77" t="n">
        <f aca="false">AN87</f>
        <v>11</v>
      </c>
      <c r="AP87" s="52"/>
      <c r="AQ87" s="71"/>
      <c r="AR87" s="52"/>
      <c r="BA87" s="52"/>
      <c r="BB87" s="73" t="str">
        <f aca="false">B87</f>
        <v>   Common Stock</v>
      </c>
      <c r="BC87" s="74" t="n">
        <v>1</v>
      </c>
      <c r="BD87" s="77" t="n">
        <f aca="false">BC87</f>
        <v>1</v>
      </c>
      <c r="BE87" s="77" t="n">
        <f aca="false">BD87</f>
        <v>1</v>
      </c>
      <c r="BF87" s="77" t="n">
        <f aca="false">BE87</f>
        <v>1</v>
      </c>
      <c r="BG87" s="77" t="n">
        <f aca="false">BF87</f>
        <v>1</v>
      </c>
      <c r="BH87" s="77" t="n">
        <f aca="false">BG87</f>
        <v>1</v>
      </c>
      <c r="BI87" s="77" t="n">
        <f aca="false">BH87</f>
        <v>1</v>
      </c>
      <c r="BJ87" s="77" t="n">
        <f aca="false">BI87</f>
        <v>1</v>
      </c>
      <c r="BK87" s="77" t="n">
        <f aca="false">BJ87</f>
        <v>1</v>
      </c>
      <c r="BL87" s="77" t="n">
        <f aca="false">BK87</f>
        <v>1</v>
      </c>
      <c r="BM87" s="77" t="n">
        <f aca="false">BL87</f>
        <v>1</v>
      </c>
      <c r="BN87" s="77" t="n">
        <f aca="false">BM87</f>
        <v>1</v>
      </c>
      <c r="BO87" s="77" t="n">
        <f aca="false">BN87</f>
        <v>1</v>
      </c>
      <c r="CA87" s="52"/>
      <c r="CB87" s="73" t="str">
        <f aca="false">B87</f>
        <v>   Common Stock</v>
      </c>
      <c r="CC87" s="75" t="n">
        <f aca="false">C87-AC87-BC87</f>
        <v>0</v>
      </c>
      <c r="CD87" s="75" t="n">
        <f aca="false">D87-AD87-BD87</f>
        <v>0</v>
      </c>
      <c r="CE87" s="75" t="n">
        <f aca="false">E87-AE87-BE87</f>
        <v>0</v>
      </c>
      <c r="CF87" s="75" t="n">
        <f aca="false">F87-AF87-BF87</f>
        <v>0</v>
      </c>
      <c r="CG87" s="75" t="n">
        <f aca="false">G87-AG87-BG87</f>
        <v>0</v>
      </c>
      <c r="CH87" s="75" t="n">
        <f aca="false">H87-AH87-BH87</f>
        <v>0</v>
      </c>
      <c r="CI87" s="75" t="n">
        <f aca="false">I87-AI87-BI87</f>
        <v>0</v>
      </c>
      <c r="CJ87" s="75" t="n">
        <f aca="false">J87-AJ87-BJ87</f>
        <v>0</v>
      </c>
      <c r="CK87" s="75" t="n">
        <f aca="false">K87-AK87-BK87</f>
        <v>0</v>
      </c>
      <c r="CL87" s="75" t="n">
        <f aca="false">L87-AL87-BL87</f>
        <v>0</v>
      </c>
      <c r="CM87" s="75" t="n">
        <f aca="false">M87-AM87-BM87</f>
        <v>0</v>
      </c>
      <c r="CN87" s="75" t="n">
        <f aca="false">N87-AN87-BN87</f>
        <v>0</v>
      </c>
      <c r="CO87" s="75" t="n">
        <f aca="false">O87-AO87-BO87</f>
        <v>0</v>
      </c>
      <c r="CP87" s="52"/>
    </row>
    <row r="88" customFormat="false" ht="12.75" hidden="false" customHeight="false" outlineLevel="0" collapsed="false">
      <c r="A88" s="52"/>
      <c r="B88" s="73" t="s">
        <v>362</v>
      </c>
      <c r="C88" s="74" t="n">
        <v>406122</v>
      </c>
      <c r="D88" s="74" t="n">
        <v>406122</v>
      </c>
      <c r="E88" s="74" t="n">
        <v>406122</v>
      </c>
      <c r="F88" s="74" t="n">
        <v>406122</v>
      </c>
      <c r="G88" s="74" t="n">
        <v>406122</v>
      </c>
      <c r="H88" s="74" t="n">
        <v>406122</v>
      </c>
      <c r="I88" s="74" t="n">
        <v>406122</v>
      </c>
      <c r="J88" s="74" t="n">
        <v>406122</v>
      </c>
      <c r="K88" s="74" t="n">
        <v>406122</v>
      </c>
      <c r="L88" s="74" t="n">
        <v>406122</v>
      </c>
      <c r="M88" s="74" t="n">
        <v>406122</v>
      </c>
      <c r="N88" s="74" t="n">
        <v>406122</v>
      </c>
      <c r="O88" s="74" t="n">
        <v>406122</v>
      </c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73" t="str">
        <f aca="false">B88</f>
        <v>   Paid-in Capital</v>
      </c>
      <c r="AC88" s="74" t="n">
        <v>0</v>
      </c>
      <c r="AD88" s="77" t="n">
        <f aca="false">AC88</f>
        <v>0</v>
      </c>
      <c r="AE88" s="77" t="n">
        <f aca="false">AD88</f>
        <v>0</v>
      </c>
      <c r="AF88" s="77" t="n">
        <f aca="false">AE88</f>
        <v>0</v>
      </c>
      <c r="AG88" s="77" t="n">
        <f aca="false">AF88</f>
        <v>0</v>
      </c>
      <c r="AH88" s="77" t="n">
        <f aca="false">AG88</f>
        <v>0</v>
      </c>
      <c r="AI88" s="77" t="n">
        <f aca="false">AH88</f>
        <v>0</v>
      </c>
      <c r="AJ88" s="77" t="n">
        <f aca="false">AI88</f>
        <v>0</v>
      </c>
      <c r="AK88" s="77" t="n">
        <f aca="false">AJ88</f>
        <v>0</v>
      </c>
      <c r="AL88" s="77" t="n">
        <f aca="false">AK88</f>
        <v>0</v>
      </c>
      <c r="AM88" s="77" t="n">
        <f aca="false">AL88</f>
        <v>0</v>
      </c>
      <c r="AN88" s="77" t="n">
        <f aca="false">AM88</f>
        <v>0</v>
      </c>
      <c r="AO88" s="77" t="n">
        <f aca="false">AN88</f>
        <v>0</v>
      </c>
      <c r="AP88" s="52"/>
      <c r="AQ88" s="71"/>
      <c r="AR88" s="52"/>
      <c r="BA88" s="52"/>
      <c r="BB88" s="73" t="str">
        <f aca="false">B88</f>
        <v>   Paid-in Capital</v>
      </c>
      <c r="BC88" s="74" t="n">
        <v>4929</v>
      </c>
      <c r="BD88" s="77" t="n">
        <f aca="false">BC88</f>
        <v>4929</v>
      </c>
      <c r="BE88" s="77" t="n">
        <f aca="false">BD88</f>
        <v>4929</v>
      </c>
      <c r="BF88" s="77" t="n">
        <f aca="false">BE88</f>
        <v>4929</v>
      </c>
      <c r="BG88" s="77" t="n">
        <f aca="false">BF88</f>
        <v>4929</v>
      </c>
      <c r="BH88" s="77" t="n">
        <f aca="false">BG88</f>
        <v>4929</v>
      </c>
      <c r="BI88" s="77" t="n">
        <f aca="false">BH88</f>
        <v>4929</v>
      </c>
      <c r="BJ88" s="77" t="n">
        <f aca="false">BI88</f>
        <v>4929</v>
      </c>
      <c r="BK88" s="77" t="n">
        <f aca="false">BJ88</f>
        <v>4929</v>
      </c>
      <c r="BL88" s="77" t="n">
        <f aca="false">BK88</f>
        <v>4929</v>
      </c>
      <c r="BM88" s="77" t="n">
        <f aca="false">BL88</f>
        <v>4929</v>
      </c>
      <c r="BN88" s="77" t="n">
        <f aca="false">BM88</f>
        <v>4929</v>
      </c>
      <c r="BO88" s="77" t="n">
        <f aca="false">BN88</f>
        <v>4929</v>
      </c>
      <c r="CA88" s="52"/>
      <c r="CB88" s="73" t="str">
        <f aca="false">B88</f>
        <v>   Paid-in Capital</v>
      </c>
      <c r="CC88" s="75" t="n">
        <f aca="false">C88-AC88-BC88</f>
        <v>401193</v>
      </c>
      <c r="CD88" s="75" t="n">
        <f aca="false">D88-AD88-BD88</f>
        <v>401193</v>
      </c>
      <c r="CE88" s="75" t="n">
        <f aca="false">E88-AE88-BE88</f>
        <v>401193</v>
      </c>
      <c r="CF88" s="75" t="n">
        <f aca="false">F88-AF88-BF88</f>
        <v>401193</v>
      </c>
      <c r="CG88" s="75" t="n">
        <f aca="false">G88-AG88-BG88</f>
        <v>401193</v>
      </c>
      <c r="CH88" s="75" t="n">
        <f aca="false">H88-AH88-BH88</f>
        <v>401193</v>
      </c>
      <c r="CI88" s="75" t="n">
        <f aca="false">I88-AI88-BI88</f>
        <v>401193</v>
      </c>
      <c r="CJ88" s="75" t="n">
        <f aca="false">J88-AJ88-BJ88</f>
        <v>401193</v>
      </c>
      <c r="CK88" s="75" t="n">
        <f aca="false">K88-AK88-BK88</f>
        <v>401193</v>
      </c>
      <c r="CL88" s="75" t="n">
        <f aca="false">L88-AL88-BL88</f>
        <v>401193</v>
      </c>
      <c r="CM88" s="75" t="n">
        <f aca="false">M88-AM88-BM88</f>
        <v>401193</v>
      </c>
      <c r="CN88" s="75" t="n">
        <f aca="false">N88-AN88-BN88</f>
        <v>401193</v>
      </c>
      <c r="CO88" s="75" t="n">
        <f aca="false">O88-AO88-BO88</f>
        <v>401193</v>
      </c>
      <c r="CP88" s="52"/>
    </row>
    <row r="89" customFormat="false" ht="12.75" hidden="false" customHeight="false" outlineLevel="0" collapsed="false">
      <c r="A89" s="52"/>
      <c r="B89" s="73" t="s">
        <v>363</v>
      </c>
      <c r="C89" s="75" t="n">
        <f aca="false">BACKUP!C494+BACKUP!C495</f>
        <v>0</v>
      </c>
      <c r="D89" s="75" t="n">
        <f aca="false">C89+BACKUP!D494+BACKUP!D495</f>
        <v>466</v>
      </c>
      <c r="E89" s="75" t="n">
        <f aca="false">D89+BACKUP!E494+BACKUP!E495</f>
        <v>333</v>
      </c>
      <c r="F89" s="75" t="n">
        <f aca="false">E89+BACKUP!F494+BACKUP!F495</f>
        <v>-15</v>
      </c>
      <c r="G89" s="75" t="n">
        <f aca="false">F89+BACKUP!G494+BACKUP!G495</f>
        <v>0</v>
      </c>
      <c r="H89" s="75" t="n">
        <f aca="false">G89+BACKUP!H494+BACKUP!H495</f>
        <v>0</v>
      </c>
      <c r="I89" s="75" t="n">
        <f aca="false">H89+BACKUP!I494+BACKUP!I495</f>
        <v>0</v>
      </c>
      <c r="J89" s="75" t="n">
        <f aca="false">I89+BACKUP!J494+BACKUP!J495</f>
        <v>0</v>
      </c>
      <c r="K89" s="75" t="n">
        <f aca="false">J89+BACKUP!K494+BACKUP!K495</f>
        <v>0</v>
      </c>
      <c r="L89" s="75" t="n">
        <f aca="false">K89+BACKUP!L494+BACKUP!L495</f>
        <v>0</v>
      </c>
      <c r="M89" s="75" t="n">
        <f aca="false">L89+BACKUP!M494+BACKUP!M495</f>
        <v>0</v>
      </c>
      <c r="N89" s="75" t="n">
        <f aca="false">M89+BACKUP!N494+BACKUP!N495</f>
        <v>0</v>
      </c>
      <c r="O89" s="75" t="n">
        <f aca="false">N89+BACKUP!O494+BACKUP!O495</f>
        <v>0</v>
      </c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73" t="str">
        <f aca="false">B89</f>
        <v>   Accumulated Other Comprehensive Income</v>
      </c>
      <c r="AC89" s="74" t="n">
        <v>0</v>
      </c>
      <c r="AD89" s="77" t="n">
        <f aca="false">AC89</f>
        <v>0</v>
      </c>
      <c r="AE89" s="77" t="n">
        <f aca="false">AD89</f>
        <v>0</v>
      </c>
      <c r="AF89" s="77" t="n">
        <f aca="false">AE89</f>
        <v>0</v>
      </c>
      <c r="AG89" s="77" t="n">
        <f aca="false">AF89</f>
        <v>0</v>
      </c>
      <c r="AH89" s="77" t="n">
        <f aca="false">AG89</f>
        <v>0</v>
      </c>
      <c r="AI89" s="77" t="n">
        <f aca="false">AH89</f>
        <v>0</v>
      </c>
      <c r="AJ89" s="77" t="n">
        <f aca="false">AI89</f>
        <v>0</v>
      </c>
      <c r="AK89" s="77" t="n">
        <f aca="false">AJ89</f>
        <v>0</v>
      </c>
      <c r="AL89" s="77" t="n">
        <f aca="false">AK89</f>
        <v>0</v>
      </c>
      <c r="AM89" s="77" t="n">
        <f aca="false">AL89</f>
        <v>0</v>
      </c>
      <c r="AN89" s="77" t="n">
        <f aca="false">AM89</f>
        <v>0</v>
      </c>
      <c r="AO89" s="77" t="n">
        <f aca="false">AN89</f>
        <v>0</v>
      </c>
      <c r="AP89" s="52"/>
      <c r="AQ89" s="71"/>
      <c r="AR89" s="52"/>
      <c r="BA89" s="52"/>
      <c r="BB89" s="73" t="str">
        <f aca="false">B89</f>
        <v>   Accumulated Other Comprehensive Income</v>
      </c>
      <c r="BC89" s="74" t="n">
        <v>0</v>
      </c>
      <c r="BD89" s="77" t="n">
        <f aca="false">BC89</f>
        <v>0</v>
      </c>
      <c r="BE89" s="77" t="n">
        <f aca="false">BD89</f>
        <v>0</v>
      </c>
      <c r="BF89" s="77" t="n">
        <f aca="false">BE89</f>
        <v>0</v>
      </c>
      <c r="BG89" s="77" t="n">
        <f aca="false">BF89</f>
        <v>0</v>
      </c>
      <c r="BH89" s="77" t="n">
        <f aca="false">BG89</f>
        <v>0</v>
      </c>
      <c r="BI89" s="77" t="n">
        <f aca="false">BH89</f>
        <v>0</v>
      </c>
      <c r="BJ89" s="77" t="n">
        <f aca="false">BI89</f>
        <v>0</v>
      </c>
      <c r="BK89" s="77" t="n">
        <f aca="false">BJ89</f>
        <v>0</v>
      </c>
      <c r="BL89" s="77" t="n">
        <f aca="false">BK89</f>
        <v>0</v>
      </c>
      <c r="BM89" s="77" t="n">
        <f aca="false">BL89</f>
        <v>0</v>
      </c>
      <c r="BN89" s="77" t="n">
        <f aca="false">BM89</f>
        <v>0</v>
      </c>
      <c r="BO89" s="77" t="n">
        <f aca="false">BN89</f>
        <v>0</v>
      </c>
      <c r="CA89" s="52"/>
      <c r="CB89" s="73" t="str">
        <f aca="false">B89</f>
        <v>   Accumulated Other Comprehensive Income</v>
      </c>
      <c r="CC89" s="75" t="n">
        <f aca="false">C89-AC89-BC89</f>
        <v>0</v>
      </c>
      <c r="CD89" s="75" t="n">
        <f aca="false">D89-AD89-BD89</f>
        <v>466</v>
      </c>
      <c r="CE89" s="75" t="n">
        <f aca="false">E89-AE89-BE89</f>
        <v>333</v>
      </c>
      <c r="CF89" s="75" t="n">
        <f aca="false">F89-AF89-BF89</f>
        <v>-15</v>
      </c>
      <c r="CG89" s="75" t="n">
        <f aca="false">G89-AG89-BG89</f>
        <v>0</v>
      </c>
      <c r="CH89" s="75" t="n">
        <f aca="false">H89-AH89-BH89</f>
        <v>0</v>
      </c>
      <c r="CI89" s="75" t="n">
        <f aca="false">I89-AI89-BI89</f>
        <v>0</v>
      </c>
      <c r="CJ89" s="75" t="n">
        <f aca="false">J89-AJ89-BJ89</f>
        <v>0</v>
      </c>
      <c r="CK89" s="75" t="n">
        <f aca="false">K89-AK89-BK89</f>
        <v>0</v>
      </c>
      <c r="CL89" s="75" t="n">
        <f aca="false">L89-AL89-BL89</f>
        <v>0</v>
      </c>
      <c r="CM89" s="75" t="n">
        <f aca="false">M89-AM89-BM89</f>
        <v>0</v>
      </c>
      <c r="CN89" s="75" t="n">
        <f aca="false">N89-AN89-BN89</f>
        <v>0</v>
      </c>
      <c r="CO89" s="75" t="n">
        <f aca="false">O89-AO89-BO89</f>
        <v>0</v>
      </c>
      <c r="CP89" s="52"/>
    </row>
    <row r="90" customFormat="false" ht="12.75" hidden="false" customHeight="false" outlineLevel="0" collapsed="false">
      <c r="A90" s="52"/>
      <c r="B90" s="73" t="s">
        <v>364</v>
      </c>
      <c r="C90" s="80" t="n">
        <f aca="false">BACKUP!C500-C87-C88-C89</f>
        <v>681383</v>
      </c>
      <c r="D90" s="80" t="n">
        <f aca="false">BACKUP!D500-D87-D88-D89</f>
        <v>701018</v>
      </c>
      <c r="E90" s="80" t="n">
        <f aca="false">BACKUP!E500-E87-E88-E89</f>
        <v>719803</v>
      </c>
      <c r="F90" s="80" t="n">
        <f aca="false">BACKUP!F500-F87-F88-F89</f>
        <v>732530</v>
      </c>
      <c r="G90" s="80" t="n">
        <f aca="false">BACKUP!G500-G87-G88-G89</f>
        <v>735613</v>
      </c>
      <c r="H90" s="80" t="n">
        <f aca="false">BACKUP!H500-H87-H88-H89</f>
        <v>736602</v>
      </c>
      <c r="I90" s="80" t="n">
        <f aca="false">BACKUP!I500-I87-I88-I89</f>
        <v>739568</v>
      </c>
      <c r="J90" s="80" t="n">
        <f aca="false">BACKUP!J500-J87-J88-J89</f>
        <v>741116</v>
      </c>
      <c r="K90" s="80" t="n">
        <f aca="false">BACKUP!K500-K87-K88-K89</f>
        <v>743590</v>
      </c>
      <c r="L90" s="80" t="n">
        <f aca="false">BACKUP!L500-L87-L88-L89</f>
        <v>744236</v>
      </c>
      <c r="M90" s="80" t="n">
        <f aca="false">BACKUP!M500-M87-M88-M89</f>
        <v>743051</v>
      </c>
      <c r="N90" s="80" t="n">
        <f aca="false">BACKUP!N500-N87-N88-N89</f>
        <v>759402</v>
      </c>
      <c r="O90" s="80" t="n">
        <f aca="false">BACKUP!O500-O87-O88-O89</f>
        <v>776158</v>
      </c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73" t="str">
        <f aca="false">B90</f>
        <v>   Retained Earnings</v>
      </c>
      <c r="AC90" s="81" t="n">
        <v>67736</v>
      </c>
      <c r="AD90" s="83" t="n">
        <f aca="false">AC90+[1]IncomeState!C157-2+1</f>
        <v>68048</v>
      </c>
      <c r="AE90" s="83" t="n">
        <f aca="false">AD90+[1]IncomeState!D157+1</f>
        <v>68235</v>
      </c>
      <c r="AF90" s="83" t="n">
        <f aca="false">AE90+[1]IncomeState!E157+2-4967</f>
        <v>63444</v>
      </c>
      <c r="AG90" s="83" t="n">
        <f aca="false">AF90+[1]IncomeState!F157+1</f>
        <v>64252</v>
      </c>
      <c r="AH90" s="83" t="n">
        <f aca="false">AG90+[1]IncomeState!G157-3</f>
        <v>64428</v>
      </c>
      <c r="AI90" s="84" t="n">
        <f aca="false">AH90+[1]IncomeState!H157</f>
        <v>64684</v>
      </c>
      <c r="AJ90" s="83" t="n">
        <f aca="false">AI90+[1]IncomeState!I157+1</f>
        <v>64873</v>
      </c>
      <c r="AK90" s="84" t="n">
        <f aca="false">AJ90+[1]IncomeState!J157</f>
        <v>65022</v>
      </c>
      <c r="AL90" s="84" t="n">
        <f aca="false">AK90+[1]IncomeState!K157</f>
        <v>65205</v>
      </c>
      <c r="AM90" s="84" t="n">
        <f aca="false">AL90+[1]IncomeState!L157</f>
        <v>65392</v>
      </c>
      <c r="AN90" s="84" t="n">
        <f aca="false">AM90+[1]IncomeState!M157</f>
        <v>65589</v>
      </c>
      <c r="AO90" s="84" t="n">
        <f aca="false">AN90+[1]IncomeState!N157</f>
        <v>65581</v>
      </c>
      <c r="AP90" s="52"/>
      <c r="AQ90" s="71"/>
      <c r="AR90" s="52"/>
      <c r="BA90" s="52"/>
      <c r="BB90" s="73" t="str">
        <f aca="false">B90</f>
        <v>   Retained Earnings</v>
      </c>
      <c r="BC90" s="81" t="n">
        <v>-522</v>
      </c>
      <c r="BD90" s="83" t="n">
        <f aca="false">BC90-17-1</f>
        <v>-540</v>
      </c>
      <c r="BE90" s="83" t="n">
        <f aca="false">BD90-17</f>
        <v>-557</v>
      </c>
      <c r="BF90" s="83" t="n">
        <f aca="false">BE90-17</f>
        <v>-574</v>
      </c>
      <c r="BG90" s="83" t="n">
        <f aca="false">BF90-17</f>
        <v>-591</v>
      </c>
      <c r="BH90" s="83" t="n">
        <f aca="false">BG90-17</f>
        <v>-608</v>
      </c>
      <c r="BI90" s="83" t="n">
        <f aca="false">BH90-17</f>
        <v>-625</v>
      </c>
      <c r="BJ90" s="83" t="n">
        <f aca="false">BI90-17</f>
        <v>-642</v>
      </c>
      <c r="BK90" s="83" t="n">
        <f aca="false">BJ90-17</f>
        <v>-659</v>
      </c>
      <c r="BL90" s="83" t="n">
        <f aca="false">BK90-17</f>
        <v>-676</v>
      </c>
      <c r="BM90" s="83" t="n">
        <f aca="false">BL90-17</f>
        <v>-693</v>
      </c>
      <c r="BN90" s="83" t="n">
        <f aca="false">BM90-17</f>
        <v>-710</v>
      </c>
      <c r="BO90" s="83" t="n">
        <f aca="false">BN90-17</f>
        <v>-727</v>
      </c>
      <c r="CA90" s="52"/>
      <c r="CB90" s="73" t="str">
        <f aca="false">B90</f>
        <v>   Retained Earnings</v>
      </c>
      <c r="CC90" s="82" t="n">
        <f aca="false">C90-AC90-BC90</f>
        <v>614169</v>
      </c>
      <c r="CD90" s="82" t="n">
        <f aca="false">D90-AD90-BD90</f>
        <v>633510</v>
      </c>
      <c r="CE90" s="82" t="n">
        <f aca="false">E90-AE90-BE90</f>
        <v>652125</v>
      </c>
      <c r="CF90" s="82" t="n">
        <f aca="false">F90-AF90-BF90</f>
        <v>669660</v>
      </c>
      <c r="CG90" s="82" t="n">
        <f aca="false">G90-AG90-BG90</f>
        <v>671952</v>
      </c>
      <c r="CH90" s="82" t="n">
        <f aca="false">H90-AH90-BH90</f>
        <v>672782</v>
      </c>
      <c r="CI90" s="82" t="n">
        <f aca="false">I90-AI90-BI90</f>
        <v>675509</v>
      </c>
      <c r="CJ90" s="82" t="n">
        <f aca="false">J90-AJ90-BJ90</f>
        <v>676885</v>
      </c>
      <c r="CK90" s="82" t="n">
        <f aca="false">K90-AK90-BK90</f>
        <v>679227</v>
      </c>
      <c r="CL90" s="82" t="n">
        <f aca="false">L90-AL90-BL90</f>
        <v>679707</v>
      </c>
      <c r="CM90" s="82" t="n">
        <f aca="false">M90-AM90-BM90</f>
        <v>678352</v>
      </c>
      <c r="CN90" s="82" t="n">
        <f aca="false">N90-AN90-BN90</f>
        <v>694523</v>
      </c>
      <c r="CO90" s="82" t="n">
        <f aca="false">O90-AO90-BO90</f>
        <v>711304</v>
      </c>
      <c r="CP90" s="52"/>
    </row>
    <row r="91" customFormat="false" ht="3.9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BA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</row>
    <row r="92" customFormat="false" ht="12.75" hidden="false" customHeight="false" outlineLevel="0" collapsed="false">
      <c r="A92" s="72" t="s">
        <v>365</v>
      </c>
      <c r="B92" s="70" t="s">
        <v>366</v>
      </c>
      <c r="C92" s="80" t="n">
        <f aca="false">SUM(C87:C91)</f>
        <v>1087527</v>
      </c>
      <c r="D92" s="80" t="n">
        <f aca="false">SUM(D87:D91)</f>
        <v>1107628</v>
      </c>
      <c r="E92" s="80" t="n">
        <f aca="false">SUM(E87:E91)</f>
        <v>1126280</v>
      </c>
      <c r="F92" s="80" t="n">
        <f aca="false">SUM(F87:F91)</f>
        <v>1138649</v>
      </c>
      <c r="G92" s="80" t="n">
        <f aca="false">SUM(G87:G91)</f>
        <v>1141747</v>
      </c>
      <c r="H92" s="80" t="n">
        <f aca="false">SUM(H87:H91)</f>
        <v>1142736</v>
      </c>
      <c r="I92" s="80" t="n">
        <f aca="false">SUM(I87:I91)</f>
        <v>1145702</v>
      </c>
      <c r="J92" s="80" t="n">
        <f aca="false">SUM(J87:J91)</f>
        <v>1147250</v>
      </c>
      <c r="K92" s="80" t="n">
        <f aca="false">SUM(K87:K91)</f>
        <v>1149724</v>
      </c>
      <c r="L92" s="80" t="n">
        <f aca="false">SUM(L87:L91)</f>
        <v>1150370</v>
      </c>
      <c r="M92" s="80" t="n">
        <f aca="false">SUM(M87:M91)</f>
        <v>1149185</v>
      </c>
      <c r="N92" s="80" t="n">
        <f aca="false">SUM(N87:N91)</f>
        <v>1165536</v>
      </c>
      <c r="O92" s="80" t="n">
        <f aca="false">SUM(O87:O91)</f>
        <v>1182292</v>
      </c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72" t="str">
        <f aca="false">A92</f>
        <v>K</v>
      </c>
      <c r="AB92" s="70" t="str">
        <f aca="false">B92</f>
        <v>      Total Equity</v>
      </c>
      <c r="AC92" s="80" t="n">
        <f aca="false">SUM(AC87:AC91)</f>
        <v>67757</v>
      </c>
      <c r="AD92" s="80" t="n">
        <f aca="false">SUM(AD87:AD91)</f>
        <v>68069</v>
      </c>
      <c r="AE92" s="80" t="n">
        <f aca="false">SUM(AE87:AE91)</f>
        <v>68256</v>
      </c>
      <c r="AF92" s="80" t="n">
        <f aca="false">SUM(AF87:AF91)</f>
        <v>63455</v>
      </c>
      <c r="AG92" s="80" t="n">
        <f aca="false">SUM(AG87:AG91)</f>
        <v>64263</v>
      </c>
      <c r="AH92" s="80" t="n">
        <f aca="false">SUM(AH87:AH91)</f>
        <v>64439</v>
      </c>
      <c r="AI92" s="80" t="n">
        <f aca="false">SUM(AI87:AI91)</f>
        <v>64695</v>
      </c>
      <c r="AJ92" s="80" t="n">
        <f aca="false">SUM(AJ87:AJ91)</f>
        <v>64884</v>
      </c>
      <c r="AK92" s="80" t="n">
        <f aca="false">SUM(AK87:AK91)</f>
        <v>65033</v>
      </c>
      <c r="AL92" s="80" t="n">
        <f aca="false">SUM(AL87:AL91)</f>
        <v>65216</v>
      </c>
      <c r="AM92" s="80" t="n">
        <f aca="false">SUM(AM87:AM91)</f>
        <v>65403</v>
      </c>
      <c r="AN92" s="80" t="n">
        <f aca="false">SUM(AN87:AN91)</f>
        <v>65600</v>
      </c>
      <c r="AO92" s="80" t="n">
        <f aca="false">SUM(AO87:AO91)</f>
        <v>65592</v>
      </c>
      <c r="AP92" s="52"/>
      <c r="AQ92" s="71"/>
      <c r="AR92" s="52"/>
      <c r="BA92" s="72" t="str">
        <f aca="false">AA92</f>
        <v>K</v>
      </c>
      <c r="BB92" s="70" t="str">
        <f aca="false">B92</f>
        <v>      Total Equity</v>
      </c>
      <c r="BC92" s="80" t="n">
        <f aca="false">SUM(BC87:BC91)</f>
        <v>4408</v>
      </c>
      <c r="BD92" s="80" t="n">
        <f aca="false">SUM(BD87:BD91)</f>
        <v>4390</v>
      </c>
      <c r="BE92" s="80" t="n">
        <f aca="false">SUM(BE87:BE91)</f>
        <v>4373</v>
      </c>
      <c r="BF92" s="80" t="n">
        <f aca="false">SUM(BF87:BF91)</f>
        <v>4356</v>
      </c>
      <c r="BG92" s="80" t="n">
        <f aca="false">SUM(BG87:BG91)</f>
        <v>4339</v>
      </c>
      <c r="BH92" s="80" t="n">
        <f aca="false">SUM(BH87:BH91)</f>
        <v>4322</v>
      </c>
      <c r="BI92" s="80" t="n">
        <f aca="false">SUM(BI87:BI91)</f>
        <v>4305</v>
      </c>
      <c r="BJ92" s="80" t="n">
        <f aca="false">SUM(BJ87:BJ91)</f>
        <v>4288</v>
      </c>
      <c r="BK92" s="80" t="n">
        <f aca="false">SUM(BK87:BK91)</f>
        <v>4271</v>
      </c>
      <c r="BL92" s="80" t="n">
        <f aca="false">SUM(BL87:BL91)</f>
        <v>4254</v>
      </c>
      <c r="BM92" s="80" t="n">
        <f aca="false">SUM(BM87:BM91)</f>
        <v>4237</v>
      </c>
      <c r="BN92" s="80" t="n">
        <f aca="false">SUM(BN87:BN91)</f>
        <v>4220</v>
      </c>
      <c r="BO92" s="80" t="n">
        <f aca="false">SUM(BO87:BO91)</f>
        <v>4203</v>
      </c>
      <c r="CA92" s="72" t="str">
        <f aca="false">A92</f>
        <v>K</v>
      </c>
      <c r="CB92" s="70" t="str">
        <f aca="false">B92</f>
        <v>      Total Equity</v>
      </c>
      <c r="CC92" s="80" t="n">
        <f aca="false">SUM(CC87:CC91)</f>
        <v>1015362</v>
      </c>
      <c r="CD92" s="80" t="n">
        <f aca="false">SUM(CD87:CD91)</f>
        <v>1035169</v>
      </c>
      <c r="CE92" s="80" t="n">
        <f aca="false">SUM(CE87:CE91)</f>
        <v>1053651</v>
      </c>
      <c r="CF92" s="80" t="n">
        <f aca="false">SUM(CF87:CF91)</f>
        <v>1070838</v>
      </c>
      <c r="CG92" s="80" t="n">
        <f aca="false">SUM(CG87:CG91)</f>
        <v>1073145</v>
      </c>
      <c r="CH92" s="80" t="n">
        <f aca="false">SUM(CH87:CH91)</f>
        <v>1073975</v>
      </c>
      <c r="CI92" s="80" t="n">
        <f aca="false">SUM(CI87:CI91)</f>
        <v>1076702</v>
      </c>
      <c r="CJ92" s="80" t="n">
        <f aca="false">SUM(CJ87:CJ91)</f>
        <v>1078078</v>
      </c>
      <c r="CK92" s="80" t="n">
        <f aca="false">SUM(CK87:CK91)</f>
        <v>1080420</v>
      </c>
      <c r="CL92" s="80" t="n">
        <f aca="false">SUM(CL87:CL91)</f>
        <v>1080900</v>
      </c>
      <c r="CM92" s="80" t="n">
        <f aca="false">SUM(CM87:CM91)</f>
        <v>1079545</v>
      </c>
      <c r="CN92" s="80" t="n">
        <f aca="false">SUM(CN87:CN91)</f>
        <v>1095716</v>
      </c>
      <c r="CO92" s="80" t="n">
        <f aca="false">SUM(CO87:CO91)</f>
        <v>1112497</v>
      </c>
      <c r="CP92" s="52"/>
    </row>
    <row r="93" customFormat="false" ht="12.75" hidden="false" customHeight="fals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</row>
    <row r="94" customFormat="false" ht="12.75" hidden="false" customHeight="false" outlineLevel="0" collapsed="false">
      <c r="A94" s="52"/>
      <c r="B94" s="52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52"/>
      <c r="AQ94" s="71"/>
      <c r="AR94" s="52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CA94" s="52"/>
      <c r="CB94" s="52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52"/>
    </row>
    <row r="95" customFormat="false" ht="12.75" hidden="false" customHeight="false" outlineLevel="0" collapsed="false">
      <c r="A95" s="49"/>
      <c r="B95" s="70" t="s">
        <v>367</v>
      </c>
      <c r="C95" s="85" t="n">
        <f aca="false">C69+C77+C84+C92</f>
        <v>2056033</v>
      </c>
      <c r="D95" s="85" t="n">
        <f aca="false">D69+D77+D84+D92</f>
        <v>2144174</v>
      </c>
      <c r="E95" s="85" t="n">
        <f aca="false">E69+E77+E84+E92</f>
        <v>2117619</v>
      </c>
      <c r="F95" s="85" t="n">
        <f aca="false">F69+F77+F84+F92</f>
        <v>2119251</v>
      </c>
      <c r="G95" s="85" t="n">
        <f aca="false">G69+G77+G84+G92</f>
        <v>2139763</v>
      </c>
      <c r="H95" s="85" t="n">
        <f aca="false">H69+H77+H84+H92</f>
        <v>2113806</v>
      </c>
      <c r="I95" s="85" t="n">
        <f aca="false">I69+I77+I84+I92</f>
        <v>2098426</v>
      </c>
      <c r="J95" s="85" t="n">
        <f aca="false">J69+J77+J84+J92</f>
        <v>2085765</v>
      </c>
      <c r="K95" s="85" t="n">
        <f aca="false">K69+K77+K84+K92</f>
        <v>2099792</v>
      </c>
      <c r="L95" s="85" t="n">
        <f aca="false">L69+L77+L84+L92</f>
        <v>2101658</v>
      </c>
      <c r="M95" s="85" t="n">
        <f aca="false">M69+M77+M84+M92</f>
        <v>2088443</v>
      </c>
      <c r="N95" s="85" t="n">
        <f aca="false">N69+N77+N84+N92</f>
        <v>2099313</v>
      </c>
      <c r="O95" s="85" t="n">
        <f aca="false">O69+O77+O84+O92</f>
        <v>2096348</v>
      </c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49"/>
      <c r="AB95" s="70" t="str">
        <f aca="false">B95</f>
        <v>            TOTAL LIABILITIES &amp; EQUITY</v>
      </c>
      <c r="AC95" s="85" t="n">
        <f aca="false">AC69+AC77+AC84+AC92</f>
        <v>74716</v>
      </c>
      <c r="AD95" s="85" t="n">
        <f aca="false">AD69+AD77+AD84+AD92</f>
        <v>74944</v>
      </c>
      <c r="AE95" s="85" t="n">
        <f aca="false">AE69+AE77+AE84+AE92</f>
        <v>75046</v>
      </c>
      <c r="AF95" s="85" t="n">
        <f aca="false">AF69+AF77+AF84+AF92</f>
        <v>70097</v>
      </c>
      <c r="AG95" s="85" t="n">
        <f aca="false">AG69+AG77+AG84+AG92</f>
        <v>70820</v>
      </c>
      <c r="AH95" s="85" t="n">
        <f aca="false">AH69+AH77+AH84+AH92</f>
        <v>70912</v>
      </c>
      <c r="AI95" s="85" t="n">
        <f aca="false">AI69+AI77+AI84+AI92</f>
        <v>71083</v>
      </c>
      <c r="AJ95" s="85" t="n">
        <f aca="false">AJ69+AJ77+AJ84+AJ92</f>
        <v>71188</v>
      </c>
      <c r="AK95" s="85" t="n">
        <f aca="false">AK69+AK77+AK84+AK92</f>
        <v>71252</v>
      </c>
      <c r="AL95" s="85" t="n">
        <f aca="false">AL69+AL77+AL84+AL92</f>
        <v>71351</v>
      </c>
      <c r="AM95" s="85" t="n">
        <f aca="false">AM69+AM77+AM84+AM92</f>
        <v>71410</v>
      </c>
      <c r="AN95" s="85" t="n">
        <f aca="false">AN69+AN77+AN84+AN92</f>
        <v>71472</v>
      </c>
      <c r="AO95" s="85" t="n">
        <f aca="false">AO69+AO77+AO84+AO92</f>
        <v>71458</v>
      </c>
      <c r="AP95" s="52"/>
      <c r="AQ95" s="71"/>
      <c r="AR95" s="52"/>
      <c r="BB95" s="70" t="str">
        <f aca="false">B95</f>
        <v>            TOTAL LIABILITIES &amp; EQUITY</v>
      </c>
      <c r="BC95" s="85" t="n">
        <f aca="false">BC69+BC77+BC84+BC92</f>
        <v>8068</v>
      </c>
      <c r="BD95" s="85" t="n">
        <f aca="false">BD69+BD77+BD84+BD92</f>
        <v>8040</v>
      </c>
      <c r="BE95" s="85" t="n">
        <f aca="false">BE69+BE77+BE84+BE92</f>
        <v>8014</v>
      </c>
      <c r="BF95" s="85" t="n">
        <f aca="false">BF69+BF77+BF84+BF92</f>
        <v>7988</v>
      </c>
      <c r="BG95" s="85" t="n">
        <f aca="false">BG69+BG77+BG84+BG92</f>
        <v>7962</v>
      </c>
      <c r="BH95" s="85" t="n">
        <f aca="false">BH69+BH77+BH84+BH92</f>
        <v>7936</v>
      </c>
      <c r="BI95" s="85" t="n">
        <f aca="false">BI69+BI77+BI84+BI92</f>
        <v>7909</v>
      </c>
      <c r="BJ95" s="85" t="n">
        <f aca="false">BJ69+BJ77+BJ84+BJ92</f>
        <v>7883</v>
      </c>
      <c r="BK95" s="85" t="n">
        <f aca="false">BK69+BK77+BK84+BK92</f>
        <v>7857</v>
      </c>
      <c r="BL95" s="85" t="n">
        <f aca="false">BL69+BL77+BL84+BL92</f>
        <v>7831</v>
      </c>
      <c r="BM95" s="85" t="n">
        <f aca="false">BM69+BM77+BM84+BM92</f>
        <v>7805</v>
      </c>
      <c r="BN95" s="85" t="n">
        <f aca="false">BN69+BN77+BN84+BN92</f>
        <v>7779</v>
      </c>
      <c r="BO95" s="85" t="n">
        <f aca="false">BO69+BO77+BO84+BO92</f>
        <v>7753</v>
      </c>
      <c r="CA95" s="49"/>
      <c r="CB95" s="70" t="str">
        <f aca="false">B95</f>
        <v>            TOTAL LIABILITIES &amp; EQUITY</v>
      </c>
      <c r="CC95" s="85" t="n">
        <f aca="false">CC69+CC77+CC84+CC92</f>
        <v>1973249</v>
      </c>
      <c r="CD95" s="85" t="n">
        <f aca="false">CD69+CD77+CD84+CD92</f>
        <v>2061190</v>
      </c>
      <c r="CE95" s="85" t="n">
        <f aca="false">CE69+CE77+CE84+CE92</f>
        <v>2034559</v>
      </c>
      <c r="CF95" s="85" t="n">
        <f aca="false">CF69+CF77+CF84+CF92</f>
        <v>2041166</v>
      </c>
      <c r="CG95" s="85" t="n">
        <f aca="false">CG69+CG77+CG84+CG92</f>
        <v>2060981</v>
      </c>
      <c r="CH95" s="85" t="n">
        <f aca="false">CH69+CH77+CH84+CH92</f>
        <v>2034958</v>
      </c>
      <c r="CI95" s="85" t="n">
        <f aca="false">CI69+CI77+CI84+CI92</f>
        <v>2019434</v>
      </c>
      <c r="CJ95" s="85" t="n">
        <f aca="false">CJ69+CJ77+CJ84+CJ92</f>
        <v>2006694</v>
      </c>
      <c r="CK95" s="85" t="n">
        <f aca="false">CK69+CK77+CK84+CK92</f>
        <v>2020683</v>
      </c>
      <c r="CL95" s="85" t="n">
        <f aca="false">CL69+CL77+CL84+CL92</f>
        <v>2022476</v>
      </c>
      <c r="CM95" s="85" t="n">
        <f aca="false">CM69+CM77+CM84+CM92</f>
        <v>2009228</v>
      </c>
      <c r="CN95" s="85" t="n">
        <f aca="false">CN69+CN77+CN84+CN92</f>
        <v>2020062</v>
      </c>
      <c r="CO95" s="85" t="n">
        <f aca="false">CO69+CO77+CO84+CO92</f>
        <v>2017137</v>
      </c>
      <c r="CP95" s="52"/>
    </row>
    <row r="96" customFormat="false" ht="12.75" hidden="false" customHeight="false" outlineLevel="0" collapsed="false">
      <c r="A96" s="52"/>
      <c r="B96" s="52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52"/>
      <c r="AQ96" s="52"/>
      <c r="AR96" s="52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CA96" s="52"/>
      <c r="CB96" s="52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52"/>
    </row>
    <row r="97" customFormat="false" ht="12.75" hidden="false" customHeight="fals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</row>
    <row r="98" customFormat="false" ht="12.75" hidden="false" customHeight="false" outlineLevel="0" collapsed="false">
      <c r="A98" s="52"/>
      <c r="B98" s="73" t="s">
        <v>368</v>
      </c>
      <c r="C98" s="71" t="n">
        <f aca="false">C52-C95</f>
        <v>0</v>
      </c>
      <c r="D98" s="71" t="n">
        <f aca="false">D52-D95</f>
        <v>0</v>
      </c>
      <c r="E98" s="71" t="n">
        <f aca="false">E52-E95</f>
        <v>0</v>
      </c>
      <c r="F98" s="71" t="n">
        <f aca="false">F52-F95</f>
        <v>0</v>
      </c>
      <c r="G98" s="71" t="n">
        <f aca="false">G52-G95</f>
        <v>0</v>
      </c>
      <c r="H98" s="71" t="n">
        <f aca="false">H52-H95</f>
        <v>0</v>
      </c>
      <c r="I98" s="71" t="n">
        <f aca="false">I52-I95</f>
        <v>0</v>
      </c>
      <c r="J98" s="71" t="n">
        <f aca="false">J52-J95</f>
        <v>0</v>
      </c>
      <c r="K98" s="71" t="n">
        <f aca="false">K52-K95</f>
        <v>0</v>
      </c>
      <c r="L98" s="71" t="n">
        <f aca="false">L52-L95</f>
        <v>0</v>
      </c>
      <c r="M98" s="71" t="n">
        <f aca="false">M52-M95</f>
        <v>0</v>
      </c>
      <c r="N98" s="71" t="n">
        <f aca="false">N52-N95</f>
        <v>0</v>
      </c>
      <c r="O98" s="71" t="n">
        <f aca="false">O52-O95</f>
        <v>0</v>
      </c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73" t="str">
        <f aca="false">B98</f>
        <v>      CHECK #</v>
      </c>
      <c r="AC98" s="71" t="n">
        <f aca="false">AC52-AC95</f>
        <v>0</v>
      </c>
      <c r="AD98" s="71" t="n">
        <f aca="false">AD52-AD95</f>
        <v>0</v>
      </c>
      <c r="AE98" s="71" t="n">
        <f aca="false">AE52-AE95</f>
        <v>0</v>
      </c>
      <c r="AF98" s="71" t="n">
        <f aca="false">AF52-AF95</f>
        <v>0</v>
      </c>
      <c r="AG98" s="71" t="n">
        <f aca="false">AG52-AG95</f>
        <v>0</v>
      </c>
      <c r="AH98" s="71" t="n">
        <f aca="false">AH52-AH95</f>
        <v>0</v>
      </c>
      <c r="AI98" s="71" t="n">
        <f aca="false">AI52-AI95</f>
        <v>0</v>
      </c>
      <c r="AJ98" s="71" t="n">
        <f aca="false">AJ52-AJ95</f>
        <v>0</v>
      </c>
      <c r="AK98" s="71" t="n">
        <f aca="false">AK52-AK95</f>
        <v>-2</v>
      </c>
      <c r="AL98" s="71" t="n">
        <f aca="false">AL52-AL95</f>
        <v>-5</v>
      </c>
      <c r="AM98" s="71" t="n">
        <f aca="false">AM52-AM95</f>
        <v>-11</v>
      </c>
      <c r="AN98" s="71" t="n">
        <f aca="false">AN52-AN95</f>
        <v>-17</v>
      </c>
      <c r="AO98" s="71" t="n">
        <f aca="false">AO52-AO95</f>
        <v>-16</v>
      </c>
      <c r="AP98" s="52"/>
      <c r="AQ98" s="52"/>
      <c r="AR98" s="52"/>
      <c r="BB98" s="73" t="str">
        <f aca="false">B98</f>
        <v>      CHECK #</v>
      </c>
      <c r="BC98" s="71" t="n">
        <f aca="false">BC52-BC95</f>
        <v>0</v>
      </c>
      <c r="BD98" s="71" t="n">
        <f aca="false">BD52-BD95</f>
        <v>0</v>
      </c>
      <c r="BE98" s="71" t="n">
        <f aca="false">BE52-BE95</f>
        <v>0</v>
      </c>
      <c r="BF98" s="71" t="n">
        <f aca="false">BF52-BF95</f>
        <v>0</v>
      </c>
      <c r="BG98" s="71" t="n">
        <f aca="false">BG52-BG95</f>
        <v>0</v>
      </c>
      <c r="BH98" s="71" t="n">
        <f aca="false">BH52-BH95</f>
        <v>0</v>
      </c>
      <c r="BI98" s="71" t="n">
        <f aca="false">BI52-BI95</f>
        <v>0</v>
      </c>
      <c r="BJ98" s="71" t="n">
        <f aca="false">BJ52-BJ95</f>
        <v>0</v>
      </c>
      <c r="BK98" s="71" t="n">
        <f aca="false">BK52-BK95</f>
        <v>0</v>
      </c>
      <c r="BL98" s="71" t="n">
        <f aca="false">BL52-BL95</f>
        <v>0</v>
      </c>
      <c r="BM98" s="71" t="n">
        <f aca="false">BM52-BM95</f>
        <v>0</v>
      </c>
      <c r="BN98" s="71" t="n">
        <f aca="false">BN52-BN95</f>
        <v>0</v>
      </c>
      <c r="BO98" s="71" t="n">
        <f aca="false">BO52-BO95</f>
        <v>0</v>
      </c>
      <c r="CA98" s="52"/>
      <c r="CB98" s="73" t="str">
        <f aca="false">B98</f>
        <v>      CHECK #</v>
      </c>
      <c r="CC98" s="71" t="n">
        <f aca="false">CC52-CC95</f>
        <v>0</v>
      </c>
      <c r="CD98" s="71" t="n">
        <f aca="false">CD52-CD95</f>
        <v>0</v>
      </c>
      <c r="CE98" s="71" t="n">
        <f aca="false">CE52-CE95</f>
        <v>0</v>
      </c>
      <c r="CF98" s="71" t="n">
        <f aca="false">CF52-CF95</f>
        <v>0</v>
      </c>
      <c r="CG98" s="71" t="n">
        <f aca="false">CG52-CG95</f>
        <v>0</v>
      </c>
      <c r="CH98" s="71" t="n">
        <f aca="false">CH52-CH95</f>
        <v>0</v>
      </c>
      <c r="CI98" s="71" t="n">
        <f aca="false">CI52-CI95</f>
        <v>0</v>
      </c>
      <c r="CJ98" s="71" t="n">
        <f aca="false">CJ52-CJ95</f>
        <v>0</v>
      </c>
      <c r="CK98" s="71" t="n">
        <f aca="false">CK52-CK95</f>
        <v>2</v>
      </c>
      <c r="CL98" s="71" t="n">
        <f aca="false">CL52-CL95</f>
        <v>5</v>
      </c>
      <c r="CM98" s="71" t="n">
        <f aca="false">CM52-CM95</f>
        <v>11</v>
      </c>
      <c r="CN98" s="71" t="n">
        <f aca="false">CN52-CN95</f>
        <v>17</v>
      </c>
      <c r="CO98" s="71" t="n">
        <f aca="false">CO52-CO95</f>
        <v>16</v>
      </c>
      <c r="CP98" s="52"/>
    </row>
    <row r="99" customFormat="false" ht="8.1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</row>
    <row r="100" customFormat="false" ht="12.75" hidden="false" customHeight="fals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</row>
    <row r="101" customFormat="false" ht="12.75" hidden="false" customHeight="fals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</row>
    <row r="102" customFormat="false" ht="12.75" hidden="false" customHeight="false" outlineLevel="0" collapsed="false">
      <c r="A102" s="53" t="str">
        <f aca="false">A1</f>
        <v>'file:///mnt/12tb/@roms/datasets/enron/EDRM Enron Email Data Set v2 XML/filtered-attachments/xls/NNG3rdCECF.xls'#$BACKUP</v>
      </c>
      <c r="B102" s="49"/>
      <c r="C102" s="49"/>
      <c r="D102" s="49"/>
      <c r="E102" s="49"/>
      <c r="F102" s="50" t="str">
        <f aca="false">F1</f>
        <v>NORTHERN NATURAL GAS GROUP</v>
      </c>
      <c r="G102" s="50"/>
      <c r="H102" s="50"/>
      <c r="I102" s="50"/>
      <c r="J102" s="49"/>
      <c r="K102" s="49"/>
      <c r="L102" s="49"/>
      <c r="M102" s="49"/>
      <c r="N102" s="49"/>
      <c r="O102" s="49"/>
      <c r="P102" s="51" t="n">
        <f aca="true">NOW()</f>
        <v>45926.9494833939</v>
      </c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3" t="str">
        <f aca="false">A1</f>
        <v>'file:///mnt/12tb/@roms/datasets/enron/EDRM Enron Email Data Set v2 XML/filtered-attachments/xls/NNG3rdCECF.xls'#$BACKUP</v>
      </c>
      <c r="AB102" s="49"/>
      <c r="AC102" s="49"/>
      <c r="AD102" s="49"/>
      <c r="AE102" s="49"/>
      <c r="AF102" s="50" t="str">
        <f aca="false">AE1</f>
        <v>TRAILBLAZER &amp; OVERTHRUST PIPELINES</v>
      </c>
      <c r="AG102" s="50"/>
      <c r="AH102" s="50"/>
      <c r="AI102" s="50"/>
      <c r="AJ102" s="49"/>
      <c r="AK102" s="49"/>
      <c r="AL102" s="49"/>
      <c r="AM102" s="49"/>
      <c r="AN102" s="49"/>
      <c r="AO102" s="49"/>
      <c r="AP102" s="51" t="n">
        <f aca="true">NOW()</f>
        <v>45926.949483394</v>
      </c>
      <c r="AQ102" s="52"/>
      <c r="AR102" s="52"/>
    </row>
    <row r="103" customFormat="false" ht="12.75" hidden="false" customHeight="false" outlineLevel="0" collapsed="false">
      <c r="A103" s="58" t="s">
        <v>369</v>
      </c>
      <c r="B103" s="49"/>
      <c r="C103" s="49"/>
      <c r="D103" s="49"/>
      <c r="E103" s="49"/>
      <c r="F103" s="88" t="s">
        <v>370</v>
      </c>
      <c r="G103" s="88"/>
      <c r="H103" s="88"/>
      <c r="I103" s="88"/>
      <c r="J103" s="49"/>
      <c r="K103" s="49"/>
      <c r="L103" s="49"/>
      <c r="M103" s="49"/>
      <c r="N103" s="49"/>
      <c r="O103" s="49"/>
      <c r="P103" s="57" t="n">
        <f aca="true">NOW()</f>
        <v>45926.949483394</v>
      </c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8" t="s">
        <v>371</v>
      </c>
      <c r="AB103" s="49"/>
      <c r="AC103" s="49"/>
      <c r="AD103" s="49"/>
      <c r="AE103" s="49"/>
      <c r="AF103" s="88" t="s">
        <v>370</v>
      </c>
      <c r="AG103" s="88"/>
      <c r="AH103" s="88"/>
      <c r="AI103" s="88"/>
      <c r="AJ103" s="49"/>
      <c r="AK103" s="49"/>
      <c r="AL103" s="49"/>
      <c r="AM103" s="49"/>
      <c r="AN103" s="49"/>
      <c r="AO103" s="49"/>
      <c r="AP103" s="57" t="n">
        <f aca="true">NOW()</f>
        <v>45926.9494833941</v>
      </c>
      <c r="AQ103" s="52"/>
      <c r="AR103" s="52"/>
      <c r="CC103" s="52"/>
      <c r="CD103" s="52"/>
      <c r="CE103" s="52"/>
      <c r="CF103" s="65"/>
      <c r="CG103" s="72"/>
      <c r="CH103" s="72"/>
      <c r="CI103" s="72"/>
      <c r="CJ103" s="52"/>
      <c r="CK103" s="52"/>
      <c r="CL103" s="52"/>
      <c r="CM103" s="52"/>
      <c r="CN103" s="52"/>
      <c r="CO103" s="52"/>
    </row>
    <row r="104" customFormat="false" ht="12.75" hidden="false" customHeight="false" outlineLevel="0" collapsed="false">
      <c r="A104" s="60"/>
      <c r="B104" s="49"/>
      <c r="C104" s="49"/>
      <c r="D104" s="49"/>
      <c r="E104" s="49"/>
      <c r="F104" s="50" t="str">
        <f aca="false">F3</f>
        <v>2001 ACTUAL / ESTIMATE</v>
      </c>
      <c r="G104" s="50"/>
      <c r="H104" s="50"/>
      <c r="I104" s="50"/>
      <c r="J104" s="49"/>
      <c r="K104" s="49"/>
      <c r="L104" s="49"/>
      <c r="M104" s="49"/>
      <c r="N104" s="49"/>
      <c r="O104" s="49"/>
      <c r="P104" s="49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60"/>
      <c r="AB104" s="49"/>
      <c r="AC104" s="49"/>
      <c r="AD104" s="49"/>
      <c r="AE104" s="49"/>
      <c r="AF104" s="50" t="str">
        <f aca="false">AF3</f>
        <v>2001 ACTUAL / ESTIMATE</v>
      </c>
      <c r="AG104" s="50"/>
      <c r="AH104" s="50"/>
      <c r="AI104" s="50"/>
      <c r="AJ104" s="49"/>
      <c r="AK104" s="49"/>
      <c r="AL104" s="49"/>
      <c r="AM104" s="49"/>
      <c r="AN104" s="49"/>
      <c r="AO104" s="49"/>
      <c r="AP104" s="49"/>
      <c r="AQ104" s="52"/>
      <c r="AR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</row>
    <row r="105" customFormat="false" ht="12.75" hidden="false" customHeight="false" outlineLevel="0" collapsed="false">
      <c r="A105" s="49"/>
      <c r="B105" s="49"/>
      <c r="C105" s="49"/>
      <c r="D105" s="49"/>
      <c r="E105" s="49"/>
      <c r="F105" s="50" t="str">
        <f aca="false">F4</f>
        <v>(Thousands of Dollars)</v>
      </c>
      <c r="G105" s="50"/>
      <c r="H105" s="50"/>
      <c r="I105" s="50"/>
      <c r="J105" s="49"/>
      <c r="K105" s="49"/>
      <c r="L105" s="49"/>
      <c r="M105" s="49"/>
      <c r="N105" s="49"/>
      <c r="O105" s="49"/>
      <c r="P105" s="49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49"/>
      <c r="AB105" s="49"/>
      <c r="AC105" s="49"/>
      <c r="AD105" s="49"/>
      <c r="AE105" s="49"/>
      <c r="AF105" s="50" t="str">
        <f aca="false">AF4</f>
        <v>(Thousands of Dollars)</v>
      </c>
      <c r="AG105" s="50"/>
      <c r="AH105" s="50"/>
      <c r="AI105" s="50"/>
      <c r="AJ105" s="49"/>
      <c r="AK105" s="49"/>
      <c r="AL105" s="49"/>
      <c r="AM105" s="49"/>
      <c r="AN105" s="49"/>
      <c r="AO105" s="49"/>
      <c r="AP105" s="49"/>
      <c r="AQ105" s="52"/>
      <c r="AR105" s="52"/>
      <c r="CC105" s="86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</row>
    <row r="106" customFormat="false" ht="12.75" hidden="false" customHeight="false" outlineLevel="0" collapsed="false">
      <c r="A106" s="49"/>
      <c r="B106" s="49"/>
      <c r="C106" s="61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52"/>
      <c r="AR106" s="52"/>
    </row>
    <row r="107" customFormat="false" ht="12.75" hidden="false" customHeight="false" outlineLevel="0" collapsed="false">
      <c r="A107" s="49"/>
      <c r="B107" s="49"/>
      <c r="C107" s="61"/>
      <c r="D107" s="49"/>
      <c r="E107" s="49"/>
      <c r="F107" s="52"/>
      <c r="G107" s="61"/>
      <c r="H107" s="49"/>
      <c r="I107" s="49"/>
      <c r="J107" s="61"/>
      <c r="K107" s="49"/>
      <c r="L107" s="49"/>
      <c r="M107" s="49"/>
      <c r="N107" s="49"/>
      <c r="O107" s="49"/>
      <c r="P107" s="89" t="s">
        <v>372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49"/>
      <c r="AB107" s="49"/>
      <c r="AC107" s="49"/>
      <c r="AD107" s="49"/>
      <c r="AE107" s="49"/>
      <c r="AF107" s="52"/>
      <c r="AG107" s="61"/>
      <c r="AH107" s="49"/>
      <c r="AI107" s="49"/>
      <c r="AJ107" s="49"/>
      <c r="AK107" s="49"/>
      <c r="AL107" s="49"/>
      <c r="AM107" s="49"/>
      <c r="AN107" s="49"/>
      <c r="AO107" s="49"/>
      <c r="AP107" s="89" t="s">
        <v>372</v>
      </c>
      <c r="AQ107" s="52"/>
      <c r="AR107" s="52"/>
    </row>
    <row r="108" customFormat="false" ht="12.75" hidden="false" customHeight="false" outlineLevel="0" collapsed="false">
      <c r="A108" s="49"/>
      <c r="B108" s="49"/>
      <c r="C108" s="63" t="str">
        <f aca="false">C7</f>
        <v>ACTUAL</v>
      </c>
      <c r="D108" s="63" t="str">
        <f aca="false">D7</f>
        <v>ACT.</v>
      </c>
      <c r="E108" s="63" t="str">
        <f aca="false">E7</f>
        <v>ACT.</v>
      </c>
      <c r="F108" s="63" t="str">
        <f aca="false">F7</f>
        <v>ACT.</v>
      </c>
      <c r="G108" s="63" t="str">
        <f aca="false">G7</f>
        <v>ACT.</v>
      </c>
      <c r="H108" s="63" t="str">
        <f aca="false">H7</f>
        <v>ACT.</v>
      </c>
      <c r="I108" s="63" t="str">
        <f aca="false">I7</f>
        <v>ACT.</v>
      </c>
      <c r="J108" s="63" t="str">
        <f aca="false">J7</f>
        <v>ACT.</v>
      </c>
      <c r="K108" s="63" t="str">
        <f aca="false">K7</f>
        <v>ACT.</v>
      </c>
      <c r="L108" s="63" t="str">
        <f aca="false">L7</f>
        <v>3rd CE</v>
      </c>
      <c r="M108" s="63" t="str">
        <f aca="false">M7</f>
        <v>3rd CE</v>
      </c>
      <c r="N108" s="63" t="str">
        <f aca="false">N7</f>
        <v>3rd CE</v>
      </c>
      <c r="O108" s="63" t="str">
        <f aca="false">O7</f>
        <v>3rd CE</v>
      </c>
      <c r="P108" s="89" t="s">
        <v>373</v>
      </c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49"/>
      <c r="AB108" s="49"/>
      <c r="AC108" s="90" t="s">
        <v>7</v>
      </c>
      <c r="AD108" s="90" t="s">
        <v>7</v>
      </c>
      <c r="AE108" s="90" t="s">
        <v>7</v>
      </c>
      <c r="AF108" s="90" t="s">
        <v>7</v>
      </c>
      <c r="AG108" s="90" t="s">
        <v>7</v>
      </c>
      <c r="AH108" s="90" t="s">
        <v>7</v>
      </c>
      <c r="AI108" s="90" t="s">
        <v>7</v>
      </c>
      <c r="AJ108" s="90" t="s">
        <v>7</v>
      </c>
      <c r="AK108" s="90" t="s">
        <v>7</v>
      </c>
      <c r="AL108" s="90" t="s">
        <v>7</v>
      </c>
      <c r="AM108" s="90" t="s">
        <v>7</v>
      </c>
      <c r="AN108" s="90" t="s">
        <v>7</v>
      </c>
      <c r="AO108" s="90" t="s">
        <v>7</v>
      </c>
      <c r="AP108" s="89" t="s">
        <v>373</v>
      </c>
      <c r="AQ108" s="52"/>
      <c r="AR108" s="52"/>
    </row>
    <row r="109" customFormat="false" ht="12.75" hidden="false" customHeight="false" outlineLevel="0" collapsed="false">
      <c r="A109" s="49"/>
      <c r="B109" s="49"/>
      <c r="C109" s="65" t="str">
        <f aca="false">C8</f>
        <v>BALANCE </v>
      </c>
      <c r="D109" s="65" t="str">
        <f aca="false">D8</f>
        <v>JAN</v>
      </c>
      <c r="E109" s="65" t="str">
        <f aca="false">E8</f>
        <v>FEB</v>
      </c>
      <c r="F109" s="65" t="str">
        <f aca="false">F8</f>
        <v>MAR</v>
      </c>
      <c r="G109" s="65" t="str">
        <f aca="false">G8</f>
        <v>APR</v>
      </c>
      <c r="H109" s="65" t="str">
        <f aca="false">H8</f>
        <v>MAY</v>
      </c>
      <c r="I109" s="65" t="str">
        <f aca="false">I8</f>
        <v>JUNE</v>
      </c>
      <c r="J109" s="65" t="str">
        <f aca="false">J8</f>
        <v>JUL</v>
      </c>
      <c r="K109" s="65" t="str">
        <f aca="false">K8</f>
        <v>AUG</v>
      </c>
      <c r="L109" s="65" t="str">
        <f aca="false">L8</f>
        <v>SEP</v>
      </c>
      <c r="M109" s="65" t="str">
        <f aca="false">M8</f>
        <v>OCT</v>
      </c>
      <c r="N109" s="65" t="str">
        <f aca="false">N8</f>
        <v>NOV</v>
      </c>
      <c r="O109" s="65" t="str">
        <f aca="false">O8</f>
        <v>DEC</v>
      </c>
      <c r="P109" s="63" t="n">
        <f aca="false">O9</f>
        <v>2001</v>
      </c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49"/>
      <c r="AB109" s="49"/>
      <c r="AC109" s="89" t="s">
        <v>24</v>
      </c>
      <c r="AD109" s="89" t="s">
        <v>13</v>
      </c>
      <c r="AE109" s="89" t="s">
        <v>14</v>
      </c>
      <c r="AF109" s="89" t="s">
        <v>15</v>
      </c>
      <c r="AG109" s="89" t="s">
        <v>16</v>
      </c>
      <c r="AH109" s="89" t="s">
        <v>17</v>
      </c>
      <c r="AI109" s="89" t="s">
        <v>296</v>
      </c>
      <c r="AJ109" s="89" t="s">
        <v>19</v>
      </c>
      <c r="AK109" s="89" t="s">
        <v>20</v>
      </c>
      <c r="AL109" s="89" t="s">
        <v>21</v>
      </c>
      <c r="AM109" s="89" t="s">
        <v>22</v>
      </c>
      <c r="AN109" s="89" t="s">
        <v>23</v>
      </c>
      <c r="AO109" s="89" t="s">
        <v>24</v>
      </c>
      <c r="AP109" s="89" t="s">
        <v>374</v>
      </c>
      <c r="AQ109" s="52"/>
      <c r="AR109" s="52"/>
    </row>
    <row r="110" customFormat="false" ht="12.75" hidden="false" customHeight="false" outlineLevel="0" collapsed="false">
      <c r="A110" s="49"/>
      <c r="B110" s="49"/>
      <c r="C110" s="68" t="str">
        <f aca="false">C9</f>
        <v>12/31/00</v>
      </c>
      <c r="D110" s="68" t="n">
        <f aca="false">D9</f>
        <v>2001</v>
      </c>
      <c r="E110" s="68" t="n">
        <f aca="false">E9</f>
        <v>2001</v>
      </c>
      <c r="F110" s="68" t="n">
        <f aca="false">F9</f>
        <v>2001</v>
      </c>
      <c r="G110" s="68" t="n">
        <f aca="false">G9</f>
        <v>2001</v>
      </c>
      <c r="H110" s="68" t="n">
        <f aca="false">H9</f>
        <v>2001</v>
      </c>
      <c r="I110" s="68" t="n">
        <f aca="false">I9</f>
        <v>2001</v>
      </c>
      <c r="J110" s="68" t="n">
        <f aca="false">J9</f>
        <v>2001</v>
      </c>
      <c r="K110" s="68" t="n">
        <f aca="false">K9</f>
        <v>2001</v>
      </c>
      <c r="L110" s="68" t="n">
        <f aca="false">L9</f>
        <v>2001</v>
      </c>
      <c r="M110" s="68" t="n">
        <f aca="false">M9</f>
        <v>2001</v>
      </c>
      <c r="N110" s="68" t="n">
        <f aca="false">N9</f>
        <v>2001</v>
      </c>
      <c r="O110" s="68" t="n">
        <f aca="false">O9</f>
        <v>2001</v>
      </c>
      <c r="P110" s="67" t="s">
        <v>375</v>
      </c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49"/>
      <c r="AB110" s="49"/>
      <c r="AC110" s="91" t="s">
        <v>376</v>
      </c>
      <c r="AD110" s="91" t="s">
        <v>374</v>
      </c>
      <c r="AE110" s="91" t="s">
        <v>374</v>
      </c>
      <c r="AF110" s="91" t="s">
        <v>374</v>
      </c>
      <c r="AG110" s="91" t="s">
        <v>374</v>
      </c>
      <c r="AH110" s="91" t="s">
        <v>374</v>
      </c>
      <c r="AI110" s="91" t="s">
        <v>374</v>
      </c>
      <c r="AJ110" s="91" t="s">
        <v>374</v>
      </c>
      <c r="AK110" s="91" t="s">
        <v>374</v>
      </c>
      <c r="AL110" s="91" t="s">
        <v>374</v>
      </c>
      <c r="AM110" s="91" t="s">
        <v>374</v>
      </c>
      <c r="AN110" s="91" t="s">
        <v>374</v>
      </c>
      <c r="AO110" s="91" t="s">
        <v>374</v>
      </c>
      <c r="AP110" s="91" t="s">
        <v>377</v>
      </c>
      <c r="AQ110" s="52"/>
      <c r="AR110" s="52"/>
    </row>
    <row r="111" customFormat="false" ht="6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</row>
    <row r="112" customFormat="false" ht="12.75" hidden="false" customHeight="false" outlineLevel="0" collapsed="false">
      <c r="A112" s="49"/>
      <c r="B112" s="70" t="s">
        <v>378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49"/>
      <c r="AB112" s="70" t="s">
        <v>378</v>
      </c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52"/>
      <c r="AQ112" s="52"/>
      <c r="AR112" s="52"/>
    </row>
    <row r="113" customFormat="false" ht="12.75" hidden="false" customHeight="false" outlineLevel="0" collapsed="false">
      <c r="A113" s="49"/>
      <c r="B113" s="70" t="s">
        <v>379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49"/>
      <c r="AB113" s="70" t="s">
        <v>379</v>
      </c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</row>
    <row r="114" customFormat="false" ht="12.75" hidden="false" customHeight="false" outlineLevel="0" collapsed="false">
      <c r="A114" s="52"/>
      <c r="B114" s="73" t="s">
        <v>380</v>
      </c>
      <c r="C114" s="71" t="n">
        <f aca="false">C12</f>
        <v>53</v>
      </c>
      <c r="D114" s="71" t="n">
        <f aca="false">D12</f>
        <v>53</v>
      </c>
      <c r="E114" s="71" t="n">
        <f aca="false">E12</f>
        <v>53</v>
      </c>
      <c r="F114" s="71" t="n">
        <f aca="false">F12</f>
        <v>53</v>
      </c>
      <c r="G114" s="71" t="n">
        <f aca="false">G12</f>
        <v>53</v>
      </c>
      <c r="H114" s="71" t="n">
        <f aca="false">H12</f>
        <v>53</v>
      </c>
      <c r="I114" s="71" t="n">
        <f aca="false">I12</f>
        <v>53</v>
      </c>
      <c r="J114" s="71" t="n">
        <f aca="false">J12</f>
        <v>53</v>
      </c>
      <c r="K114" s="71" t="n">
        <f aca="false">K12</f>
        <v>53</v>
      </c>
      <c r="L114" s="71" t="n">
        <f aca="false">L12</f>
        <v>53</v>
      </c>
      <c r="M114" s="71" t="n">
        <f aca="false">M12</f>
        <v>53</v>
      </c>
      <c r="N114" s="71" t="n">
        <f aca="false">N12</f>
        <v>53</v>
      </c>
      <c r="O114" s="71" t="n">
        <f aca="false">O12</f>
        <v>53</v>
      </c>
      <c r="P114" s="71" t="n">
        <f aca="false">ROUND(SUM(C114:O114)/13,0)</f>
        <v>53</v>
      </c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73" t="s">
        <v>380</v>
      </c>
      <c r="AC114" s="71" t="n">
        <f aca="false">AC12</f>
        <v>0</v>
      </c>
      <c r="AD114" s="71" t="n">
        <f aca="false">AD12</f>
        <v>0</v>
      </c>
      <c r="AE114" s="71" t="n">
        <f aca="false">AE12</f>
        <v>0</v>
      </c>
      <c r="AF114" s="71" t="n">
        <f aca="false">AF12</f>
        <v>0</v>
      </c>
      <c r="AG114" s="71" t="n">
        <f aca="false">AG12</f>
        <v>0</v>
      </c>
      <c r="AH114" s="71" t="n">
        <f aca="false">AH12</f>
        <v>0</v>
      </c>
      <c r="AI114" s="71" t="n">
        <f aca="false">AI12</f>
        <v>0</v>
      </c>
      <c r="AJ114" s="71" t="n">
        <f aca="false">AJ12</f>
        <v>0</v>
      </c>
      <c r="AK114" s="71" t="n">
        <f aca="false">AK12</f>
        <v>0</v>
      </c>
      <c r="AL114" s="71" t="n">
        <f aca="false">AL12</f>
        <v>0</v>
      </c>
      <c r="AM114" s="71" t="n">
        <f aca="false">AM12</f>
        <v>0</v>
      </c>
      <c r="AN114" s="71" t="n">
        <f aca="false">AN12</f>
        <v>0</v>
      </c>
      <c r="AO114" s="71" t="n">
        <f aca="false">AO12</f>
        <v>0</v>
      </c>
      <c r="AP114" s="71" t="n">
        <f aca="false">ROUND(SUM(AC114:AO114)/13,0)</f>
        <v>0</v>
      </c>
      <c r="AQ114" s="52"/>
      <c r="AR114" s="52"/>
    </row>
    <row r="115" customFormat="false" ht="12.75" hidden="false" customHeight="false" outlineLevel="0" collapsed="false">
      <c r="A115" s="52"/>
      <c r="B115" s="73" t="s">
        <v>381</v>
      </c>
      <c r="C115" s="71" t="n">
        <f aca="false">C13</f>
        <v>40542</v>
      </c>
      <c r="D115" s="71" t="n">
        <f aca="false">D13</f>
        <v>44439</v>
      </c>
      <c r="E115" s="71" t="n">
        <f aca="false">E13</f>
        <v>41453</v>
      </c>
      <c r="F115" s="71" t="n">
        <f aca="false">F13</f>
        <v>57404</v>
      </c>
      <c r="G115" s="71" t="n">
        <f aca="false">G13</f>
        <v>40956</v>
      </c>
      <c r="H115" s="71" t="n">
        <f aca="false">H13</f>
        <v>30453</v>
      </c>
      <c r="I115" s="71" t="n">
        <f aca="false">I13</f>
        <v>36741</v>
      </c>
      <c r="J115" s="71" t="n">
        <f aca="false">J13</f>
        <v>29898</v>
      </c>
      <c r="K115" s="71" t="n">
        <f aca="false">K13</f>
        <v>29869</v>
      </c>
      <c r="L115" s="71" t="n">
        <f aca="false">L13</f>
        <v>28120</v>
      </c>
      <c r="M115" s="71" t="n">
        <f aca="false">M13</f>
        <v>27501</v>
      </c>
      <c r="N115" s="71" t="n">
        <f aca="false">N13</f>
        <v>56488</v>
      </c>
      <c r="O115" s="71" t="n">
        <f aca="false">O13</f>
        <v>57686</v>
      </c>
      <c r="P115" s="71" t="n">
        <f aca="false">ROUND(SUM(C115:O115)/13,0)</f>
        <v>40119</v>
      </c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73" t="s">
        <v>381</v>
      </c>
      <c r="AC115" s="71" t="n">
        <f aca="false">AC13</f>
        <v>0</v>
      </c>
      <c r="AD115" s="71" t="n">
        <f aca="false">AD13</f>
        <v>0</v>
      </c>
      <c r="AE115" s="71" t="n">
        <f aca="false">AE13</f>
        <v>0</v>
      </c>
      <c r="AF115" s="71" t="n">
        <f aca="false">AF13</f>
        <v>0</v>
      </c>
      <c r="AG115" s="71" t="n">
        <f aca="false">AG13</f>
        <v>0</v>
      </c>
      <c r="AH115" s="71" t="n">
        <f aca="false">AH13</f>
        <v>0</v>
      </c>
      <c r="AI115" s="71" t="n">
        <f aca="false">AI13</f>
        <v>0</v>
      </c>
      <c r="AJ115" s="71" t="n">
        <f aca="false">AJ13</f>
        <v>0</v>
      </c>
      <c r="AK115" s="71" t="n">
        <f aca="false">AK13</f>
        <v>0</v>
      </c>
      <c r="AL115" s="71" t="n">
        <f aca="false">AL13</f>
        <v>0</v>
      </c>
      <c r="AM115" s="71" t="n">
        <f aca="false">AM13</f>
        <v>0</v>
      </c>
      <c r="AN115" s="71" t="n">
        <f aca="false">AN13</f>
        <v>0</v>
      </c>
      <c r="AO115" s="71" t="n">
        <f aca="false">AO13</f>
        <v>0</v>
      </c>
      <c r="AP115" s="71" t="n">
        <f aca="false">ROUND(SUM(AC115:AO115)/13,0)</f>
        <v>0</v>
      </c>
      <c r="AQ115" s="52"/>
      <c r="AR115" s="52"/>
    </row>
    <row r="116" customFormat="false" ht="12.75" hidden="false" customHeight="false" outlineLevel="0" collapsed="false">
      <c r="A116" s="52"/>
      <c r="B116" s="73" t="s">
        <v>382</v>
      </c>
      <c r="C116" s="71" t="n">
        <f aca="false">C14+C15</f>
        <v>323157</v>
      </c>
      <c r="D116" s="71" t="n">
        <f aca="false">D14+D15</f>
        <v>354521</v>
      </c>
      <c r="E116" s="71" t="n">
        <f aca="false">E14+E15</f>
        <v>325427</v>
      </c>
      <c r="F116" s="71" t="n">
        <f aca="false">F14+F15</f>
        <v>333719</v>
      </c>
      <c r="G116" s="71" t="n">
        <f aca="false">G14+G15</f>
        <v>381176</v>
      </c>
      <c r="H116" s="71" t="n">
        <f aca="false">H14+H15</f>
        <v>394521</v>
      </c>
      <c r="I116" s="71" t="n">
        <f aca="false">I14+I15</f>
        <v>392128</v>
      </c>
      <c r="J116" s="71" t="n">
        <f aca="false">J14+J15</f>
        <v>403145</v>
      </c>
      <c r="K116" s="71" t="n">
        <f aca="false">K14+K15</f>
        <v>415159</v>
      </c>
      <c r="L116" s="71" t="n">
        <f aca="false">L14+L15</f>
        <v>409759</v>
      </c>
      <c r="M116" s="71" t="n">
        <f aca="false">M14+M15</f>
        <v>393159</v>
      </c>
      <c r="N116" s="71" t="n">
        <f aca="false">N14+N15</f>
        <v>371159</v>
      </c>
      <c r="O116" s="71" t="n">
        <f aca="false">O14+O15</f>
        <v>356859</v>
      </c>
      <c r="P116" s="71" t="n">
        <f aca="false">ROUND(SUM(C116:O116)/13,0)</f>
        <v>373376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73" t="s">
        <v>382</v>
      </c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52"/>
      <c r="AR116" s="52"/>
    </row>
    <row r="117" customFormat="false" ht="12.75" hidden="false" customHeight="false" outlineLevel="0" collapsed="false">
      <c r="A117" s="52"/>
      <c r="B117" s="73" t="s">
        <v>383</v>
      </c>
      <c r="C117" s="71" t="n">
        <f aca="false">C17+C18</f>
        <v>5865</v>
      </c>
      <c r="D117" s="71" t="n">
        <f aca="false">D17+D18</f>
        <v>5860</v>
      </c>
      <c r="E117" s="71" t="n">
        <f aca="false">E17+E18</f>
        <v>5857</v>
      </c>
      <c r="F117" s="71" t="n">
        <f aca="false">F17+F18</f>
        <v>4596</v>
      </c>
      <c r="G117" s="71" t="n">
        <f aca="false">G17+G18</f>
        <v>4586</v>
      </c>
      <c r="H117" s="71" t="n">
        <f aca="false">H17+H18</f>
        <v>4389</v>
      </c>
      <c r="I117" s="71" t="n">
        <f aca="false">I17+I18</f>
        <v>4372</v>
      </c>
      <c r="J117" s="71" t="n">
        <f aca="false">J17+J18</f>
        <v>4373</v>
      </c>
      <c r="K117" s="71" t="n">
        <f aca="false">K17+K18</f>
        <v>4373</v>
      </c>
      <c r="L117" s="71" t="n">
        <f aca="false">L17+L18</f>
        <v>4373</v>
      </c>
      <c r="M117" s="71" t="n">
        <f aca="false">M17+M18</f>
        <v>4373</v>
      </c>
      <c r="N117" s="71" t="n">
        <f aca="false">N17+N18</f>
        <v>4373</v>
      </c>
      <c r="O117" s="71" t="n">
        <f aca="false">O17+O18</f>
        <v>4373</v>
      </c>
      <c r="P117" s="71" t="n">
        <f aca="false">ROUND(SUM(C117:O117)/13,0)</f>
        <v>4751</v>
      </c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73" t="s">
        <v>383</v>
      </c>
      <c r="AC117" s="71" t="n">
        <f aca="false">AC17+AC18</f>
        <v>0</v>
      </c>
      <c r="AD117" s="71" t="n">
        <f aca="false">AD17+AD18</f>
        <v>0</v>
      </c>
      <c r="AE117" s="71" t="n">
        <f aca="false">AE17+AE18</f>
        <v>0</v>
      </c>
      <c r="AF117" s="71" t="n">
        <f aca="false">AF17+AF18</f>
        <v>0</v>
      </c>
      <c r="AG117" s="71" t="n">
        <f aca="false">AG17+AG18</f>
        <v>0</v>
      </c>
      <c r="AH117" s="71" t="n">
        <f aca="false">AH17+AH18</f>
        <v>0</v>
      </c>
      <c r="AI117" s="71" t="n">
        <f aca="false">AI17+AI18</f>
        <v>0</v>
      </c>
      <c r="AJ117" s="71" t="n">
        <f aca="false">AJ17+AJ18</f>
        <v>0</v>
      </c>
      <c r="AK117" s="71" t="n">
        <f aca="false">AK17+AK18</f>
        <v>0</v>
      </c>
      <c r="AL117" s="71" t="n">
        <f aca="false">AL17+AL18</f>
        <v>0</v>
      </c>
      <c r="AM117" s="71" t="n">
        <f aca="false">AM17+AM18</f>
        <v>0</v>
      </c>
      <c r="AN117" s="71" t="n">
        <f aca="false">AN17+AN18</f>
        <v>0</v>
      </c>
      <c r="AO117" s="71" t="n">
        <f aca="false">AO17+AO18</f>
        <v>0</v>
      </c>
      <c r="AP117" s="71" t="n">
        <f aca="false">ROUND(SUM(AC117:AO117)/13,0)</f>
        <v>0</v>
      </c>
      <c r="AQ117" s="52"/>
      <c r="AR117" s="52"/>
    </row>
    <row r="118" customFormat="false" ht="12.75" hidden="false" customHeight="false" outlineLevel="0" collapsed="false">
      <c r="A118" s="52"/>
      <c r="B118" s="73" t="s">
        <v>384</v>
      </c>
      <c r="C118" s="71" t="n">
        <f aca="false">C19-C62+C20+C21+C24</f>
        <v>11418</v>
      </c>
      <c r="D118" s="71" t="n">
        <f aca="false">D19-D62+D20+D21+D24</f>
        <v>-19335</v>
      </c>
      <c r="E118" s="71" t="n">
        <f aca="false">E19-E62+E20+E21+E24</f>
        <v>-11261</v>
      </c>
      <c r="F118" s="71" t="n">
        <f aca="false">F19-F62+F20+F21+F24</f>
        <v>-10418</v>
      </c>
      <c r="G118" s="71" t="n">
        <f aca="false">G19-G62+G20+G21+G24</f>
        <v>-16566</v>
      </c>
      <c r="H118" s="71" t="n">
        <f aca="false">H19-H62+H20+H21+H24</f>
        <v>-13182</v>
      </c>
      <c r="I118" s="71" t="n">
        <f aca="false">I19-I62+I20+I21+I24</f>
        <v>-9034</v>
      </c>
      <c r="J118" s="71" t="n">
        <f aca="false">J19-J62+J20+J21+J24</f>
        <v>-2993</v>
      </c>
      <c r="K118" s="71" t="n">
        <f aca="false">K19-K62+K20+K21+K24</f>
        <v>-2993</v>
      </c>
      <c r="L118" s="71" t="n">
        <f aca="false">L19-L62+L20+L21+L24</f>
        <v>-2993</v>
      </c>
      <c r="M118" s="71" t="n">
        <f aca="false">M19-M62+M20+M21+M24</f>
        <v>-2993</v>
      </c>
      <c r="N118" s="71" t="n">
        <f aca="false">N19-N62+N20+N21+N24</f>
        <v>-2993</v>
      </c>
      <c r="O118" s="71" t="n">
        <f aca="false">O19-O62+O20+O21+O24</f>
        <v>-1913</v>
      </c>
      <c r="P118" s="71" t="n">
        <f aca="false">ROUND(SUM(C118:O118)/13,0)</f>
        <v>-6558</v>
      </c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73" t="s">
        <v>384</v>
      </c>
      <c r="AC118" s="71" t="n">
        <f aca="false">AC19-AC62+AC20+AC21+AC24</f>
        <v>0</v>
      </c>
      <c r="AD118" s="71" t="n">
        <f aca="false">AD19-AD62+AD20+AD21+AD24</f>
        <v>0</v>
      </c>
      <c r="AE118" s="71" t="n">
        <f aca="false">AE19-AE62+AE20+AE21+AE24</f>
        <v>0</v>
      </c>
      <c r="AF118" s="71" t="n">
        <f aca="false">AF19-AF62+AF20+AF21+AF24</f>
        <v>0</v>
      </c>
      <c r="AG118" s="71" t="n">
        <f aca="false">AG19-AG62+AG20+AG21+AG24</f>
        <v>0</v>
      </c>
      <c r="AH118" s="71" t="n">
        <f aca="false">AH19-AH62+AH20+AH21+AH24</f>
        <v>0</v>
      </c>
      <c r="AI118" s="71" t="n">
        <f aca="false">AI19-AI62+AI20+AI21+AI24</f>
        <v>0</v>
      </c>
      <c r="AJ118" s="71" t="n">
        <f aca="false">AJ19-AJ62+AJ20+AJ21+AJ24</f>
        <v>0</v>
      </c>
      <c r="AK118" s="71" t="n">
        <f aca="false">AK19-AK62+AK20+AK21+AK24</f>
        <v>0</v>
      </c>
      <c r="AL118" s="71" t="n">
        <f aca="false">AL19-AL62+AL20+AL21+AL24</f>
        <v>0</v>
      </c>
      <c r="AM118" s="71" t="n">
        <f aca="false">AM19-AM62+AM20+AM21+AM24</f>
        <v>0</v>
      </c>
      <c r="AN118" s="71" t="n">
        <f aca="false">AN19-AN62+AN20+AN21+AN24</f>
        <v>0</v>
      </c>
      <c r="AO118" s="71" t="n">
        <f aca="false">AO19-AO62+AO20+AO21+AO24</f>
        <v>0</v>
      </c>
      <c r="AP118" s="71" t="n">
        <f aca="false">ROUND(SUM(AC118:AO118)/13,0)</f>
        <v>0</v>
      </c>
      <c r="AQ118" s="52"/>
      <c r="AR118" s="52"/>
    </row>
    <row r="119" customFormat="false" ht="12.75" hidden="false" customHeight="false" outlineLevel="0" collapsed="false">
      <c r="A119" s="52"/>
      <c r="B119" s="73" t="s">
        <v>385</v>
      </c>
      <c r="C119" s="71" t="n">
        <f aca="false">C40</f>
        <v>1301029</v>
      </c>
      <c r="D119" s="71" t="n">
        <f aca="false">D40</f>
        <v>1343063</v>
      </c>
      <c r="E119" s="71" t="n">
        <f aca="false">E40</f>
        <v>1349490</v>
      </c>
      <c r="F119" s="71" t="n">
        <f aca="false">F40</f>
        <v>1348147</v>
      </c>
      <c r="G119" s="71" t="n">
        <f aca="false">G40</f>
        <v>1339442</v>
      </c>
      <c r="H119" s="71" t="n">
        <f aca="false">H40</f>
        <v>1333049</v>
      </c>
      <c r="I119" s="71" t="n">
        <f aca="false">I40</f>
        <v>1325364</v>
      </c>
      <c r="J119" s="71" t="n">
        <f aca="false">J40</f>
        <v>1324110</v>
      </c>
      <c r="K119" s="71" t="n">
        <f aca="false">K40</f>
        <v>1328806</v>
      </c>
      <c r="L119" s="71" t="n">
        <f aca="false">L40</f>
        <v>1336361</v>
      </c>
      <c r="M119" s="71" t="n">
        <f aca="false">M40</f>
        <v>1340177</v>
      </c>
      <c r="N119" s="71" t="n">
        <f aca="false">N40</f>
        <v>1345241</v>
      </c>
      <c r="O119" s="71" t="n">
        <f aca="false">O40</f>
        <v>1345866</v>
      </c>
      <c r="P119" s="71" t="n">
        <f aca="false">ROUND(SUM(C119:O119)/13,0)</f>
        <v>1335396</v>
      </c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73" t="s">
        <v>385</v>
      </c>
      <c r="AC119" s="71" t="n">
        <f aca="false">AC40</f>
        <v>0</v>
      </c>
      <c r="AD119" s="71" t="n">
        <f aca="false">AD40</f>
        <v>0</v>
      </c>
      <c r="AE119" s="71" t="n">
        <f aca="false">AE40</f>
        <v>0</v>
      </c>
      <c r="AF119" s="71" t="n">
        <f aca="false">AF40</f>
        <v>0</v>
      </c>
      <c r="AG119" s="71" t="n">
        <f aca="false">AG40</f>
        <v>0</v>
      </c>
      <c r="AH119" s="71" t="n">
        <f aca="false">AH40</f>
        <v>0</v>
      </c>
      <c r="AI119" s="71" t="n">
        <f aca="false">AI40</f>
        <v>0</v>
      </c>
      <c r="AJ119" s="71" t="n">
        <f aca="false">AJ40</f>
        <v>0</v>
      </c>
      <c r="AK119" s="71" t="n">
        <f aca="false">AK40</f>
        <v>0</v>
      </c>
      <c r="AL119" s="71" t="n">
        <f aca="false">AL40</f>
        <v>0</v>
      </c>
      <c r="AM119" s="71" t="n">
        <f aca="false">AM40</f>
        <v>0</v>
      </c>
      <c r="AN119" s="71" t="n">
        <f aca="false">AN40</f>
        <v>0</v>
      </c>
      <c r="AO119" s="71" t="n">
        <f aca="false">AO40</f>
        <v>0</v>
      </c>
      <c r="AP119" s="71" t="n">
        <f aca="false">ROUND(SUM(AC119:AO119)/13,0)</f>
        <v>0</v>
      </c>
      <c r="AQ119" s="52"/>
      <c r="AR119" s="52"/>
    </row>
    <row r="120" customFormat="false" ht="12.75" hidden="false" customHeight="false" outlineLevel="0" collapsed="false">
      <c r="A120" s="52"/>
      <c r="B120" s="73" t="s">
        <v>386</v>
      </c>
      <c r="C120" s="71" t="n">
        <f aca="false">C34</f>
        <v>80795</v>
      </c>
      <c r="D120" s="71" t="n">
        <f aca="false">D34</f>
        <v>87062</v>
      </c>
      <c r="E120" s="71" t="n">
        <f aca="false">E34</f>
        <v>93654</v>
      </c>
      <c r="F120" s="71" t="n">
        <f aca="false">F34</f>
        <v>90490</v>
      </c>
      <c r="G120" s="71" t="n">
        <f aca="false">G34</f>
        <v>93286</v>
      </c>
      <c r="H120" s="71" t="n">
        <f aca="false">H34</f>
        <v>81697</v>
      </c>
      <c r="I120" s="71" t="n">
        <f aca="false">I34</f>
        <v>64629</v>
      </c>
      <c r="J120" s="71" t="n">
        <f aca="false">J34</f>
        <v>63112</v>
      </c>
      <c r="K120" s="71" t="n">
        <f aca="false">K34</f>
        <v>61354</v>
      </c>
      <c r="L120" s="71" t="n">
        <f aca="false">L34</f>
        <v>60850</v>
      </c>
      <c r="M120" s="71" t="n">
        <f aca="false">M34</f>
        <v>61147</v>
      </c>
      <c r="N120" s="71" t="n">
        <f aca="false">N34</f>
        <v>61461</v>
      </c>
      <c r="O120" s="71" t="n">
        <f aca="false">O34</f>
        <v>60649</v>
      </c>
      <c r="P120" s="71" t="n">
        <f aca="false">ROUND(SUM(C120:O120)/13,0)</f>
        <v>73860</v>
      </c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73" t="s">
        <v>386</v>
      </c>
      <c r="AC120" s="71" t="n">
        <f aca="false">AC34</f>
        <v>48163</v>
      </c>
      <c r="AD120" s="71" t="n">
        <f aca="false">AD34</f>
        <v>48660</v>
      </c>
      <c r="AE120" s="71" t="n">
        <f aca="false">AE34</f>
        <v>48961</v>
      </c>
      <c r="AF120" s="71" t="n">
        <f aca="false">AF34</f>
        <v>48445</v>
      </c>
      <c r="AG120" s="71" t="n">
        <f aca="false">AG34</f>
        <v>49702</v>
      </c>
      <c r="AH120" s="71" t="n">
        <f aca="false">AH34</f>
        <v>49991</v>
      </c>
      <c r="AI120" s="71" t="n">
        <f aca="false">AI34</f>
        <v>46599</v>
      </c>
      <c r="AJ120" s="71" t="n">
        <f aca="false">AJ34</f>
        <v>46906</v>
      </c>
      <c r="AK120" s="71" t="n">
        <f aca="false">AK34</f>
        <v>45148</v>
      </c>
      <c r="AL120" s="71" t="n">
        <f aca="false">AL34</f>
        <v>44644</v>
      </c>
      <c r="AM120" s="71" t="n">
        <f aca="false">AM34</f>
        <v>44941</v>
      </c>
      <c r="AN120" s="71" t="n">
        <f aca="false">AN34</f>
        <v>45255</v>
      </c>
      <c r="AO120" s="71" t="n">
        <f aca="false">AO34</f>
        <v>44443</v>
      </c>
      <c r="AP120" s="71" t="n">
        <f aca="false">ROUND(SUM(AC120:AO120)/13,0)</f>
        <v>47066</v>
      </c>
      <c r="AQ120" s="52"/>
      <c r="AR120" s="52"/>
    </row>
    <row r="121" customFormat="false" ht="12.75" hidden="false" customHeight="false" outlineLevel="0" collapsed="false">
      <c r="A121" s="52"/>
      <c r="B121" s="73" t="s">
        <v>387</v>
      </c>
      <c r="C121" s="80" t="n">
        <f aca="false">C49+C23</f>
        <v>214713</v>
      </c>
      <c r="D121" s="80" t="n">
        <f aca="false">D49+D23</f>
        <v>216726</v>
      </c>
      <c r="E121" s="80" t="n">
        <f aca="false">E49+E23</f>
        <v>214855</v>
      </c>
      <c r="F121" s="80" t="n">
        <f aca="false">F49+F23</f>
        <v>213621</v>
      </c>
      <c r="G121" s="80" t="n">
        <f aca="false">G49+G23</f>
        <v>212327</v>
      </c>
      <c r="H121" s="80" t="n">
        <f aca="false">H49+H23</f>
        <v>208259</v>
      </c>
      <c r="I121" s="80" t="n">
        <f aca="false">I49+I23</f>
        <v>205679</v>
      </c>
      <c r="J121" s="80" t="n">
        <f aca="false">J49+J23</f>
        <v>202958</v>
      </c>
      <c r="K121" s="80" t="n">
        <f aca="false">K49+K23</f>
        <v>202619</v>
      </c>
      <c r="L121" s="80" t="n">
        <f aca="false">L49+L23</f>
        <v>202200</v>
      </c>
      <c r="M121" s="80" t="n">
        <f aca="false">M49+M23</f>
        <v>201884</v>
      </c>
      <c r="N121" s="80" t="n">
        <f aca="false">N49+N23</f>
        <v>200895</v>
      </c>
      <c r="O121" s="80" t="n">
        <f aca="false">O49+O23</f>
        <v>209913</v>
      </c>
      <c r="P121" s="80" t="n">
        <f aca="false">ROUND(SUM(C121:O121)/13,0)</f>
        <v>208204</v>
      </c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73" t="s">
        <v>387</v>
      </c>
      <c r="AC121" s="80" t="n">
        <f aca="false">AC49+AC23</f>
        <v>0</v>
      </c>
      <c r="AD121" s="80" t="n">
        <f aca="false">AD49+AD23</f>
        <v>0</v>
      </c>
      <c r="AE121" s="80" t="n">
        <f aca="false">AE49+AE23</f>
        <v>0</v>
      </c>
      <c r="AF121" s="80" t="n">
        <f aca="false">AF49+AF23</f>
        <v>0</v>
      </c>
      <c r="AG121" s="80" t="n">
        <f aca="false">AG49+AG23</f>
        <v>0</v>
      </c>
      <c r="AH121" s="80" t="n">
        <f aca="false">AH49+AH23</f>
        <v>0</v>
      </c>
      <c r="AI121" s="80" t="n">
        <f aca="false">AI49+AI23</f>
        <v>0</v>
      </c>
      <c r="AJ121" s="80" t="n">
        <f aca="false">AJ49+AJ23</f>
        <v>0</v>
      </c>
      <c r="AK121" s="80" t="n">
        <f aca="false">AK49+AK23</f>
        <v>0</v>
      </c>
      <c r="AL121" s="80" t="n">
        <f aca="false">AL49+AL23</f>
        <v>0</v>
      </c>
      <c r="AM121" s="80" t="n">
        <f aca="false">AM49+AM23</f>
        <v>0</v>
      </c>
      <c r="AN121" s="80" t="n">
        <f aca="false">AN49+AN23</f>
        <v>0</v>
      </c>
      <c r="AO121" s="80" t="n">
        <f aca="false">AO49+AO23</f>
        <v>0</v>
      </c>
      <c r="AP121" s="80" t="n">
        <f aca="false">ROUND(SUM(AC121:AO121)/13,0)</f>
        <v>0</v>
      </c>
      <c r="AQ121" s="52"/>
      <c r="AR121" s="52"/>
    </row>
    <row r="122" customFormat="false" ht="3.9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</row>
    <row r="123" customFormat="false" ht="12.75" hidden="false" customHeight="false" outlineLevel="0" collapsed="false">
      <c r="A123" s="49"/>
      <c r="B123" s="70" t="s">
        <v>388</v>
      </c>
      <c r="C123" s="80" t="n">
        <f aca="false">SUM(C114:C122)</f>
        <v>1977572</v>
      </c>
      <c r="D123" s="80" t="n">
        <f aca="false">SUM(D114:D122)</f>
        <v>2032389</v>
      </c>
      <c r="E123" s="80" t="n">
        <f aca="false">SUM(E114:E122)</f>
        <v>2019528</v>
      </c>
      <c r="F123" s="80" t="n">
        <f aca="false">SUM(F114:F122)</f>
        <v>2037612</v>
      </c>
      <c r="G123" s="80" t="n">
        <f aca="false">SUM(G114:G122)</f>
        <v>2055260</v>
      </c>
      <c r="H123" s="80" t="n">
        <f aca="false">SUM(H114:H122)</f>
        <v>2039239</v>
      </c>
      <c r="I123" s="80" t="n">
        <f aca="false">SUM(I114:I122)</f>
        <v>2019932</v>
      </c>
      <c r="J123" s="80" t="n">
        <f aca="false">SUM(J114:J122)</f>
        <v>2024656</v>
      </c>
      <c r="K123" s="80" t="n">
        <f aca="false">SUM(K114:K122)</f>
        <v>2039240</v>
      </c>
      <c r="L123" s="80" t="n">
        <f aca="false">SUM(L114:L122)</f>
        <v>2038723</v>
      </c>
      <c r="M123" s="80" t="n">
        <f aca="false">SUM(M114:M122)</f>
        <v>2025301</v>
      </c>
      <c r="N123" s="80" t="n">
        <f aca="false">SUM(N114:N122)</f>
        <v>2036677</v>
      </c>
      <c r="O123" s="80" t="n">
        <f aca="false">SUM(O114:O122)</f>
        <v>2033486</v>
      </c>
      <c r="P123" s="80" t="n">
        <f aca="false">SUM(P114:P122)</f>
        <v>2029201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49"/>
      <c r="AB123" s="70" t="s">
        <v>388</v>
      </c>
      <c r="AC123" s="80" t="n">
        <f aca="false">SUM(AC114:AC122)</f>
        <v>48163</v>
      </c>
      <c r="AD123" s="80" t="n">
        <f aca="false">SUM(AD114:AD122)</f>
        <v>48660</v>
      </c>
      <c r="AE123" s="80" t="n">
        <f aca="false">SUM(AE114:AE122)</f>
        <v>48961</v>
      </c>
      <c r="AF123" s="80" t="n">
        <f aca="false">SUM(AF114:AF122)</f>
        <v>48445</v>
      </c>
      <c r="AG123" s="80" t="n">
        <f aca="false">SUM(AG114:AG122)</f>
        <v>49702</v>
      </c>
      <c r="AH123" s="80" t="n">
        <f aca="false">SUM(AH114:AH122)</f>
        <v>49991</v>
      </c>
      <c r="AI123" s="80" t="n">
        <f aca="false">SUM(AI114:AI122)</f>
        <v>46599</v>
      </c>
      <c r="AJ123" s="80" t="n">
        <f aca="false">SUM(AJ114:AJ122)</f>
        <v>46906</v>
      </c>
      <c r="AK123" s="80" t="n">
        <f aca="false">SUM(AK114:AK122)</f>
        <v>45148</v>
      </c>
      <c r="AL123" s="80" t="n">
        <f aca="false">SUM(AL114:AL122)</f>
        <v>44644</v>
      </c>
      <c r="AM123" s="80" t="n">
        <f aca="false">SUM(AM114:AM122)</f>
        <v>44941</v>
      </c>
      <c r="AN123" s="80" t="n">
        <f aca="false">SUM(AN114:AN122)</f>
        <v>45255</v>
      </c>
      <c r="AO123" s="80" t="n">
        <f aca="false">SUM(AO114:AO122)</f>
        <v>44443</v>
      </c>
      <c r="AP123" s="80" t="n">
        <f aca="false">SUM(AP114:AP122)</f>
        <v>47066</v>
      </c>
      <c r="AQ123" s="52"/>
      <c r="AR123" s="52"/>
    </row>
    <row r="124" customFormat="false" ht="12.75" hidden="false" customHeight="fals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</row>
    <row r="125" customFormat="false" ht="12.75" hidden="false" customHeight="false" outlineLevel="0" collapsed="false">
      <c r="A125" s="49"/>
      <c r="B125" s="70" t="s">
        <v>389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49"/>
      <c r="AB125" s="70" t="s">
        <v>389</v>
      </c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</row>
    <row r="126" customFormat="false" ht="12.75" hidden="false" customHeight="false" outlineLevel="0" collapsed="false">
      <c r="A126" s="49"/>
      <c r="B126" s="70" t="s">
        <v>390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49"/>
      <c r="AB126" s="70" t="s">
        <v>390</v>
      </c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52"/>
      <c r="AQ126" s="52"/>
      <c r="AR126" s="52"/>
    </row>
    <row r="127" customFormat="false" ht="12.75" hidden="false" customHeight="false" outlineLevel="0" collapsed="false">
      <c r="A127" s="52"/>
      <c r="B127" s="73" t="s">
        <v>391</v>
      </c>
      <c r="C127" s="71" t="n">
        <f aca="false">C59+C60</f>
        <v>31722</v>
      </c>
      <c r="D127" s="71" t="n">
        <f aca="false">D59+D60</f>
        <v>52229</v>
      </c>
      <c r="E127" s="71" t="n">
        <f aca="false">E59+E60</f>
        <v>12858</v>
      </c>
      <c r="F127" s="71" t="n">
        <f aca="false">F59+F60</f>
        <v>24601</v>
      </c>
      <c r="G127" s="71" t="n">
        <f aca="false">G59+G60</f>
        <v>10969</v>
      </c>
      <c r="H127" s="71" t="n">
        <f aca="false">H59+H60</f>
        <v>10668</v>
      </c>
      <c r="I127" s="71" t="n">
        <f aca="false">I59+I60</f>
        <v>12070</v>
      </c>
      <c r="J127" s="71" t="n">
        <f aca="false">J59+J60</f>
        <v>13366</v>
      </c>
      <c r="K127" s="71" t="n">
        <f aca="false">K59+K60</f>
        <v>17125</v>
      </c>
      <c r="L127" s="71" t="n">
        <f aca="false">L59+L60</f>
        <v>19075</v>
      </c>
      <c r="M127" s="71" t="n">
        <f aca="false">M59+M60</f>
        <v>15080</v>
      </c>
      <c r="N127" s="71" t="n">
        <f aca="false">N59+N60</f>
        <v>9139</v>
      </c>
      <c r="O127" s="71" t="n">
        <f aca="false">O59+O60</f>
        <v>8008</v>
      </c>
      <c r="P127" s="71" t="n">
        <f aca="false">ROUND(SUM(C127:O127)/13,0)</f>
        <v>18224</v>
      </c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73" t="s">
        <v>391</v>
      </c>
      <c r="AC127" s="71" t="e">
        <f aca="false">AC59+#REF!+AC60</f>
        <v>#REF!</v>
      </c>
      <c r="AD127" s="71" t="e">
        <f aca="false">AD59+#REF!+AD60</f>
        <v>#REF!</v>
      </c>
      <c r="AE127" s="71" t="e">
        <f aca="false">AE59+#REF!+AE60</f>
        <v>#REF!</v>
      </c>
      <c r="AF127" s="71" t="e">
        <f aca="false">AF59+#REF!+AF60</f>
        <v>#REF!</v>
      </c>
      <c r="AG127" s="71" t="e">
        <f aca="false">AG59+#REF!+AG60</f>
        <v>#REF!</v>
      </c>
      <c r="AH127" s="71" t="e">
        <f aca="false">AH59+#REF!+AH60</f>
        <v>#REF!</v>
      </c>
      <c r="AI127" s="71" t="e">
        <f aca="false">AI59+#REF!+AI60</f>
        <v>#REF!</v>
      </c>
      <c r="AJ127" s="71" t="e">
        <f aca="false">AJ59+#REF!+AJ60</f>
        <v>#REF!</v>
      </c>
      <c r="AK127" s="71" t="e">
        <f aca="false">AK59+#REF!+AK60</f>
        <v>#REF!</v>
      </c>
      <c r="AL127" s="71" t="e">
        <f aca="false">AL59+#REF!+AL60</f>
        <v>#REF!</v>
      </c>
      <c r="AM127" s="71" t="e">
        <f aca="false">AM59+#REF!+AM60</f>
        <v>#REF!</v>
      </c>
      <c r="AN127" s="71" t="e">
        <f aca="false">AN59+#REF!+AN60</f>
        <v>#REF!</v>
      </c>
      <c r="AO127" s="71" t="e">
        <f aca="false">AO59+#REF!+AO60</f>
        <v>#REF!</v>
      </c>
      <c r="AP127" s="71" t="e">
        <f aca="false">ROUND(SUM(AC127:AO127)/13,0)</f>
        <v>#REF!</v>
      </c>
      <c r="AQ127" s="52"/>
      <c r="AR127" s="52"/>
    </row>
    <row r="128" customFormat="false" ht="12.75" hidden="false" customHeight="false" outlineLevel="0" collapsed="false">
      <c r="A128" s="52"/>
      <c r="B128" s="73" t="s">
        <v>392</v>
      </c>
      <c r="C128" s="71" t="n">
        <f aca="false">C63+C65</f>
        <v>31091</v>
      </c>
      <c r="D128" s="71" t="n">
        <f aca="false">D63+D65</f>
        <v>33071</v>
      </c>
      <c r="E128" s="71" t="n">
        <f aca="false">E63+E65</f>
        <v>40046</v>
      </c>
      <c r="F128" s="71" t="n">
        <f aca="false">F63+F65</f>
        <v>36441</v>
      </c>
      <c r="G128" s="71" t="n">
        <f aca="false">G63+G65</f>
        <v>41071</v>
      </c>
      <c r="H128" s="71" t="n">
        <f aca="false">H63+H65</f>
        <v>36887</v>
      </c>
      <c r="I128" s="71" t="n">
        <f aca="false">I63+I65</f>
        <v>29139</v>
      </c>
      <c r="J128" s="71" t="n">
        <f aca="false">J63+J65</f>
        <v>34407</v>
      </c>
      <c r="K128" s="71" t="n">
        <f aca="false">K63+K65</f>
        <v>39063</v>
      </c>
      <c r="L128" s="71" t="n">
        <f aca="false">L63+L65</f>
        <v>36318</v>
      </c>
      <c r="M128" s="71" t="n">
        <f aca="false">M63+M65</f>
        <v>39427</v>
      </c>
      <c r="N128" s="71" t="n">
        <f aca="false">N63+N65</f>
        <v>40748</v>
      </c>
      <c r="O128" s="71" t="n">
        <f aca="false">O63+O65</f>
        <v>32044</v>
      </c>
      <c r="P128" s="71" t="n">
        <f aca="false">ROUND(SUM(C128:O128)/13,0)</f>
        <v>36135</v>
      </c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73" t="s">
        <v>392</v>
      </c>
      <c r="AC128" s="71" t="n">
        <f aca="false">AC63+AC65</f>
        <v>672</v>
      </c>
      <c r="AD128" s="71" t="n">
        <f aca="false">AD63+AD65</f>
        <v>672</v>
      </c>
      <c r="AE128" s="71" t="n">
        <f aca="false">AE63+AE65</f>
        <v>672</v>
      </c>
      <c r="AF128" s="71" t="n">
        <f aca="false">AF63+AF65</f>
        <v>672</v>
      </c>
      <c r="AG128" s="71" t="n">
        <f aca="false">AG63+AG65</f>
        <v>672</v>
      </c>
      <c r="AH128" s="71" t="n">
        <f aca="false">AH63+AH65</f>
        <v>672</v>
      </c>
      <c r="AI128" s="71" t="n">
        <f aca="false">AI63+AI65</f>
        <v>672</v>
      </c>
      <c r="AJ128" s="71" t="n">
        <f aca="false">AJ63+AJ65</f>
        <v>672</v>
      </c>
      <c r="AK128" s="71" t="n">
        <f aca="false">AK63+AK65</f>
        <v>672</v>
      </c>
      <c r="AL128" s="71" t="n">
        <f aca="false">AL63+AL65</f>
        <v>672</v>
      </c>
      <c r="AM128" s="71" t="n">
        <f aca="false">AM63+AM65</f>
        <v>672</v>
      </c>
      <c r="AN128" s="71" t="n">
        <f aca="false">AN63+AN65</f>
        <v>672</v>
      </c>
      <c r="AO128" s="71" t="n">
        <f aca="false">AO63+AO65</f>
        <v>672</v>
      </c>
      <c r="AP128" s="71" t="n">
        <f aca="false">ROUND(SUM(AC128:AO128)/13,0)</f>
        <v>672</v>
      </c>
      <c r="AQ128" s="52"/>
      <c r="AR128" s="52"/>
    </row>
    <row r="129" customFormat="false" ht="12.75" hidden="false" customHeight="false" outlineLevel="0" collapsed="false">
      <c r="A129" s="52"/>
      <c r="B129" s="73" t="s">
        <v>393</v>
      </c>
      <c r="C129" s="71" t="n">
        <f aca="false">C64</f>
        <v>2374</v>
      </c>
      <c r="D129" s="71" t="n">
        <f aca="false">D64</f>
        <v>2474</v>
      </c>
      <c r="E129" s="71" t="n">
        <f aca="false">E64</f>
        <v>2476</v>
      </c>
      <c r="F129" s="71" t="n">
        <f aca="false">F64</f>
        <v>2476</v>
      </c>
      <c r="G129" s="71" t="n">
        <f aca="false">G64</f>
        <v>2477</v>
      </c>
      <c r="H129" s="71" t="n">
        <f aca="false">H64</f>
        <v>2478</v>
      </c>
      <c r="I129" s="71" t="n">
        <f aca="false">I64</f>
        <v>2478</v>
      </c>
      <c r="J129" s="71" t="n">
        <f aca="false">J64</f>
        <v>2479</v>
      </c>
      <c r="K129" s="71" t="n">
        <f aca="false">K64</f>
        <v>2479</v>
      </c>
      <c r="L129" s="71" t="n">
        <f aca="false">L64</f>
        <v>2479</v>
      </c>
      <c r="M129" s="71" t="n">
        <f aca="false">M64</f>
        <v>2479</v>
      </c>
      <c r="N129" s="71" t="n">
        <f aca="false">N64</f>
        <v>2479</v>
      </c>
      <c r="O129" s="71" t="n">
        <f aca="false">O64</f>
        <v>2479</v>
      </c>
      <c r="P129" s="71" t="n">
        <f aca="false">ROUND(SUM(C129:O129)/13,0)</f>
        <v>2470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73" t="s">
        <v>393</v>
      </c>
      <c r="AC129" s="71" t="n">
        <f aca="false">AC64</f>
        <v>0</v>
      </c>
      <c r="AD129" s="71" t="n">
        <f aca="false">AD64</f>
        <v>0</v>
      </c>
      <c r="AE129" s="71" t="n">
        <f aca="false">AE64</f>
        <v>0</v>
      </c>
      <c r="AF129" s="71" t="n">
        <f aca="false">AF64</f>
        <v>0</v>
      </c>
      <c r="AG129" s="71" t="n">
        <f aca="false">AG64</f>
        <v>0</v>
      </c>
      <c r="AH129" s="71" t="n">
        <f aca="false">AH64</f>
        <v>0</v>
      </c>
      <c r="AI129" s="71" t="n">
        <f aca="false">AI64</f>
        <v>0</v>
      </c>
      <c r="AJ129" s="71" t="n">
        <f aca="false">AJ64</f>
        <v>0</v>
      </c>
      <c r="AK129" s="71" t="n">
        <f aca="false">AK64</f>
        <v>0</v>
      </c>
      <c r="AL129" s="71" t="n">
        <f aca="false">AL64</f>
        <v>0</v>
      </c>
      <c r="AM129" s="71" t="n">
        <f aca="false">AM64</f>
        <v>0</v>
      </c>
      <c r="AN129" s="71" t="n">
        <f aca="false">AN64</f>
        <v>0</v>
      </c>
      <c r="AO129" s="71" t="n">
        <f aca="false">AO64</f>
        <v>0</v>
      </c>
      <c r="AP129" s="71" t="n">
        <f aca="false">ROUND(SUM(AC129:AO129)/13,0)</f>
        <v>0</v>
      </c>
      <c r="AQ129" s="52"/>
      <c r="AR129" s="52"/>
    </row>
    <row r="130" customFormat="false" ht="12.75" hidden="false" customHeight="false" outlineLevel="0" collapsed="false">
      <c r="A130" s="52"/>
      <c r="B130" s="73" t="s">
        <v>394</v>
      </c>
      <c r="C130" s="71" t="n">
        <f aca="false">C72</f>
        <v>289220</v>
      </c>
      <c r="D130" s="71" t="n">
        <f aca="false">D72</f>
        <v>292382</v>
      </c>
      <c r="E130" s="71" t="n">
        <f aca="false">E72</f>
        <v>292531</v>
      </c>
      <c r="F130" s="71" t="n">
        <f aca="false">F72</f>
        <v>291319</v>
      </c>
      <c r="G130" s="71" t="n">
        <f aca="false">G72</f>
        <v>314660</v>
      </c>
      <c r="H130" s="71" t="n">
        <f aca="false">H72</f>
        <v>316234</v>
      </c>
      <c r="I130" s="71" t="n">
        <f aca="false">I72</f>
        <v>313249</v>
      </c>
      <c r="J130" s="71" t="n">
        <f aca="false">J72</f>
        <v>314108</v>
      </c>
      <c r="K130" s="71" t="n">
        <f aca="false">K72</f>
        <v>317447</v>
      </c>
      <c r="L130" s="71" t="n">
        <f aca="false">L72</f>
        <v>319654</v>
      </c>
      <c r="M130" s="71" t="n">
        <f aca="false">M72</f>
        <v>307840</v>
      </c>
      <c r="N130" s="71" t="n">
        <f aca="false">N72</f>
        <v>306519</v>
      </c>
      <c r="O130" s="71" t="n">
        <f aca="false">O72</f>
        <v>307178</v>
      </c>
      <c r="P130" s="71" t="n">
        <f aca="false">ROUND(SUM(C130:O130)/13,0)</f>
        <v>306334</v>
      </c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73" t="s">
        <v>394</v>
      </c>
      <c r="AC130" s="71" t="n">
        <f aca="false">AC72</f>
        <v>6287</v>
      </c>
      <c r="AD130" s="71" t="n">
        <f aca="false">AD72</f>
        <v>6203</v>
      </c>
      <c r="AE130" s="71" t="n">
        <f aca="false">AE72</f>
        <v>6118</v>
      </c>
      <c r="AF130" s="71" t="n">
        <f aca="false">AF72</f>
        <v>5970</v>
      </c>
      <c r="AG130" s="71" t="n">
        <f aca="false">AG72</f>
        <v>5885</v>
      </c>
      <c r="AH130" s="71" t="n">
        <f aca="false">AH72</f>
        <v>5801</v>
      </c>
      <c r="AI130" s="71" t="n">
        <f aca="false">AI72</f>
        <v>5716</v>
      </c>
      <c r="AJ130" s="71" t="n">
        <f aca="false">AJ72</f>
        <v>5632</v>
      </c>
      <c r="AK130" s="71" t="n">
        <f aca="false">AK72</f>
        <v>5547</v>
      </c>
      <c r="AL130" s="71" t="n">
        <f aca="false">AL72</f>
        <v>5463</v>
      </c>
      <c r="AM130" s="71" t="n">
        <f aca="false">AM72</f>
        <v>5335</v>
      </c>
      <c r="AN130" s="71" t="n">
        <f aca="false">AN72</f>
        <v>5200</v>
      </c>
      <c r="AO130" s="71" t="n">
        <f aca="false">AO72</f>
        <v>5194</v>
      </c>
      <c r="AP130" s="71" t="n">
        <f aca="false">ROUND(SUM(AC130:AO130)/13,0)</f>
        <v>5719</v>
      </c>
      <c r="AQ130" s="52"/>
      <c r="AR130" s="52"/>
    </row>
    <row r="131" customFormat="false" ht="12.75" hidden="false" customHeight="false" outlineLevel="0" collapsed="false">
      <c r="A131" s="52"/>
      <c r="B131" s="73" t="s">
        <v>395</v>
      </c>
      <c r="C131" s="80" t="e">
        <f aca="false">#REF!+C66+C67+C73+#REF!+C74+C75</f>
        <v>#REF!</v>
      </c>
      <c r="D131" s="80" t="e">
        <f aca="false">#REF!+D66+D67+D73+#REF!+D74+D75</f>
        <v>#REF!</v>
      </c>
      <c r="E131" s="80" t="e">
        <f aca="false">#REF!+E66+E67+E73+#REF!+E74+E75</f>
        <v>#REF!</v>
      </c>
      <c r="F131" s="80" t="e">
        <f aca="false">#REF!+F66+F67+F73+#REF!+F74+F75</f>
        <v>#REF!</v>
      </c>
      <c r="G131" s="80" t="e">
        <f aca="false">#REF!+G66+G67+G73+#REF!+G74+G75</f>
        <v>#REF!</v>
      </c>
      <c r="H131" s="80" t="e">
        <f aca="false">#REF!+H66+H67+H73+#REF!+H74+H75</f>
        <v>#REF!</v>
      </c>
      <c r="I131" s="80" t="e">
        <f aca="false">#REF!+I66+I67+I73+#REF!+I74+I75</f>
        <v>#REF!</v>
      </c>
      <c r="J131" s="80" t="e">
        <f aca="false">#REF!+J66+J67+J73+#REF!+J74+J75</f>
        <v>#REF!</v>
      </c>
      <c r="K131" s="80" t="e">
        <f aca="false">#REF!+K66+K67+K73+#REF!+K74+K75</f>
        <v>#REF!</v>
      </c>
      <c r="L131" s="80" t="e">
        <f aca="false">#REF!+L66+L67+L73+#REF!+L74+L75</f>
        <v>#REF!</v>
      </c>
      <c r="M131" s="80" t="e">
        <f aca="false">#REF!+M66+M67+M73+#REF!+M74+M75</f>
        <v>#REF!</v>
      </c>
      <c r="N131" s="80" t="e">
        <f aca="false">#REF!+N66+N67+N73+#REF!+N74+N75</f>
        <v>#REF!</v>
      </c>
      <c r="O131" s="80" t="e">
        <f aca="false">#REF!+O66+O67+O73+#REF!+O74+O75</f>
        <v>#REF!</v>
      </c>
      <c r="P131" s="80" t="e">
        <f aca="false">#REF!+P66+P67+P73+#REF!+P74+P75</f>
        <v>#REF!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73" t="s">
        <v>395</v>
      </c>
      <c r="AC131" s="80" t="e">
        <f aca="false">#REF!+AC67+AC73+#REF!+AC74+AC75</f>
        <v>#REF!</v>
      </c>
      <c r="AD131" s="80" t="e">
        <f aca="false">#REF!+AD67+AD73+#REF!+AD74+AD75</f>
        <v>#REF!</v>
      </c>
      <c r="AE131" s="80" t="e">
        <f aca="false">#REF!+AE67+AE73+#REF!+AE74+AE75</f>
        <v>#REF!</v>
      </c>
      <c r="AF131" s="80" t="e">
        <f aca="false">#REF!+AF67+AF73+#REF!+AF74+AF75</f>
        <v>#REF!</v>
      </c>
      <c r="AG131" s="80" t="e">
        <f aca="false">#REF!+AG67+AG73+#REF!+AG74+AG75</f>
        <v>#REF!</v>
      </c>
      <c r="AH131" s="80" t="e">
        <f aca="false">#REF!+AH67+AH73+#REF!+AH74+AH75</f>
        <v>#REF!</v>
      </c>
      <c r="AI131" s="80" t="e">
        <f aca="false">#REF!+AI67+AI73+#REF!+AI74+AI75</f>
        <v>#REF!</v>
      </c>
      <c r="AJ131" s="80" t="e">
        <f aca="false">#REF!+AJ67+AJ73+#REF!+AJ74+AJ75</f>
        <v>#REF!</v>
      </c>
      <c r="AK131" s="80" t="e">
        <f aca="false">#REF!+AK67+AK73+#REF!+AK74+AK75</f>
        <v>#REF!</v>
      </c>
      <c r="AL131" s="80" t="e">
        <f aca="false">#REF!+AL67+AL73+#REF!+AL74+AL75</f>
        <v>#REF!</v>
      </c>
      <c r="AM131" s="80" t="e">
        <f aca="false">#REF!+AM67+AM73+#REF!+AM74+AM75</f>
        <v>#REF!</v>
      </c>
      <c r="AN131" s="80" t="e">
        <f aca="false">#REF!+AN67+AN73+#REF!+AN74+AN75</f>
        <v>#REF!</v>
      </c>
      <c r="AO131" s="80" t="e">
        <f aca="false">#REF!+AO67+AO73+#REF!+AO74+AO75</f>
        <v>#REF!</v>
      </c>
      <c r="AP131" s="80" t="e">
        <f aca="false">ROUND(SUM(AC131:AO131)/13,0)</f>
        <v>#REF!</v>
      </c>
      <c r="AQ131" s="52"/>
      <c r="AR131" s="52"/>
    </row>
    <row r="132" customFormat="false" ht="3.9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</row>
    <row r="133" customFormat="false" ht="12.75" hidden="false" customHeight="false" outlineLevel="0" collapsed="false">
      <c r="A133" s="49"/>
      <c r="B133" s="70" t="s">
        <v>396</v>
      </c>
      <c r="C133" s="80" t="e">
        <f aca="false">SUM(C127:C132)</f>
        <v>#REF!</v>
      </c>
      <c r="D133" s="80" t="e">
        <f aca="false">SUM(D127:D132)</f>
        <v>#REF!</v>
      </c>
      <c r="E133" s="80" t="e">
        <f aca="false">SUM(E127:E132)</f>
        <v>#REF!</v>
      </c>
      <c r="F133" s="80" t="e">
        <f aca="false">SUM(F127:F132)</f>
        <v>#REF!</v>
      </c>
      <c r="G133" s="80" t="e">
        <f aca="false">SUM(G127:G132)</f>
        <v>#REF!</v>
      </c>
      <c r="H133" s="80" t="e">
        <f aca="false">SUM(H127:H132)</f>
        <v>#REF!</v>
      </c>
      <c r="I133" s="80" t="e">
        <f aca="false">SUM(I127:I132)</f>
        <v>#REF!</v>
      </c>
      <c r="J133" s="80" t="e">
        <f aca="false">SUM(J127:J132)</f>
        <v>#REF!</v>
      </c>
      <c r="K133" s="80" t="e">
        <f aca="false">SUM(K127:K132)</f>
        <v>#REF!</v>
      </c>
      <c r="L133" s="80" t="e">
        <f aca="false">SUM(L127:L132)</f>
        <v>#REF!</v>
      </c>
      <c r="M133" s="80" t="e">
        <f aca="false">SUM(M127:M132)</f>
        <v>#REF!</v>
      </c>
      <c r="N133" s="80" t="e">
        <f aca="false">SUM(N127:N132)</f>
        <v>#REF!</v>
      </c>
      <c r="O133" s="80" t="e">
        <f aca="false">SUM(O127:O132)</f>
        <v>#REF!</v>
      </c>
      <c r="P133" s="80" t="e">
        <f aca="false">SUM(P127:P132)</f>
        <v>#REF!</v>
      </c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49"/>
      <c r="AB133" s="70" t="s">
        <v>396</v>
      </c>
      <c r="AC133" s="80" t="e">
        <f aca="false">SUM(AC127:AC132)</f>
        <v>#REF!</v>
      </c>
      <c r="AD133" s="80" t="e">
        <f aca="false">SUM(AD127:AD132)</f>
        <v>#REF!</v>
      </c>
      <c r="AE133" s="80" t="e">
        <f aca="false">SUM(AE127:AE132)</f>
        <v>#REF!</v>
      </c>
      <c r="AF133" s="80" t="e">
        <f aca="false">SUM(AF127:AF132)</f>
        <v>#REF!</v>
      </c>
      <c r="AG133" s="80" t="e">
        <f aca="false">SUM(AG127:AG132)</f>
        <v>#REF!</v>
      </c>
      <c r="AH133" s="80" t="e">
        <f aca="false">SUM(AH127:AH132)</f>
        <v>#REF!</v>
      </c>
      <c r="AI133" s="80" t="e">
        <f aca="false">SUM(AI127:AI132)</f>
        <v>#REF!</v>
      </c>
      <c r="AJ133" s="80" t="e">
        <f aca="false">SUM(AJ127:AJ132)</f>
        <v>#REF!</v>
      </c>
      <c r="AK133" s="80" t="e">
        <f aca="false">SUM(AK127:AK132)</f>
        <v>#REF!</v>
      </c>
      <c r="AL133" s="80" t="e">
        <f aca="false">SUM(AL127:AL132)</f>
        <v>#REF!</v>
      </c>
      <c r="AM133" s="80" t="e">
        <f aca="false">SUM(AM127:AM132)</f>
        <v>#REF!</v>
      </c>
      <c r="AN133" s="80" t="e">
        <f aca="false">SUM(AN127:AN132)</f>
        <v>#REF!</v>
      </c>
      <c r="AO133" s="80" t="e">
        <f aca="false">SUM(AO127:AO132)</f>
        <v>#REF!</v>
      </c>
      <c r="AP133" s="80" t="e">
        <f aca="false">SUM(AP127:AP132)</f>
        <v>#REF!</v>
      </c>
      <c r="AQ133" s="52"/>
      <c r="AR133" s="52"/>
    </row>
    <row r="134" customFormat="false" ht="12.75" hidden="false" customHeight="fals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</row>
    <row r="135" customFormat="false" ht="12.75" hidden="false" customHeight="false" outlineLevel="0" collapsed="false">
      <c r="A135" s="49"/>
      <c r="B135" s="70" t="s">
        <v>397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49"/>
      <c r="AB135" s="70" t="s">
        <v>397</v>
      </c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</row>
    <row r="136" customFormat="false" ht="12.75" hidden="false" customHeight="false" outlineLevel="0" collapsed="false">
      <c r="A136" s="52"/>
      <c r="B136" s="73" t="s">
        <v>398</v>
      </c>
      <c r="C136" s="71" t="n">
        <f aca="false">C80</f>
        <v>0</v>
      </c>
      <c r="D136" s="71" t="n">
        <f aca="false">D80</f>
        <v>0</v>
      </c>
      <c r="E136" s="71" t="n">
        <f aca="false">E80</f>
        <v>0</v>
      </c>
      <c r="F136" s="71" t="n">
        <f aca="false">F80</f>
        <v>0</v>
      </c>
      <c r="G136" s="71" t="n">
        <f aca="false">G80</f>
        <v>0</v>
      </c>
      <c r="H136" s="71" t="n">
        <f aca="false">H80</f>
        <v>0</v>
      </c>
      <c r="I136" s="71" t="n">
        <f aca="false">I80</f>
        <v>0</v>
      </c>
      <c r="J136" s="71" t="n">
        <f aca="false">J80</f>
        <v>0</v>
      </c>
      <c r="K136" s="71" t="n">
        <f aca="false">K80</f>
        <v>0</v>
      </c>
      <c r="L136" s="71" t="n">
        <f aca="false">L80</f>
        <v>0</v>
      </c>
      <c r="M136" s="71" t="n">
        <f aca="false">M80</f>
        <v>0</v>
      </c>
      <c r="N136" s="71" t="n">
        <f aca="false">N80</f>
        <v>0</v>
      </c>
      <c r="O136" s="71" t="n">
        <f aca="false">O80</f>
        <v>0</v>
      </c>
      <c r="P136" s="71" t="n">
        <f aca="false">ROUND(SUM(C136:O136)/13,0)</f>
        <v>0</v>
      </c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73" t="s">
        <v>399</v>
      </c>
      <c r="AC136" s="71" t="n">
        <f aca="false">AC80</f>
        <v>0</v>
      </c>
      <c r="AD136" s="71" t="n">
        <f aca="false">AD80</f>
        <v>0</v>
      </c>
      <c r="AE136" s="71" t="n">
        <f aca="false">AE80</f>
        <v>0</v>
      </c>
      <c r="AF136" s="71" t="n">
        <f aca="false">AF80</f>
        <v>0</v>
      </c>
      <c r="AG136" s="71" t="n">
        <f aca="false">AG80</f>
        <v>0</v>
      </c>
      <c r="AH136" s="71" t="n">
        <f aca="false">AH80</f>
        <v>0</v>
      </c>
      <c r="AI136" s="71" t="n">
        <f aca="false">AI80</f>
        <v>0</v>
      </c>
      <c r="AJ136" s="71" t="n">
        <f aca="false">AJ80</f>
        <v>0</v>
      </c>
      <c r="AK136" s="71" t="n">
        <f aca="false">AK80</f>
        <v>0</v>
      </c>
      <c r="AL136" s="71" t="n">
        <f aca="false">AL80</f>
        <v>0</v>
      </c>
      <c r="AM136" s="71" t="n">
        <f aca="false">AM80</f>
        <v>0</v>
      </c>
      <c r="AN136" s="71" t="n">
        <f aca="false">AN80</f>
        <v>0</v>
      </c>
      <c r="AO136" s="71" t="n">
        <f aca="false">AO80</f>
        <v>0</v>
      </c>
      <c r="AP136" s="71" t="n">
        <f aca="false">ROUND(SUM(AC136:AO136)/13,0)</f>
        <v>0</v>
      </c>
      <c r="AQ136" s="52"/>
      <c r="AR136" s="52"/>
    </row>
    <row r="137" customFormat="false" ht="12.75" hidden="false" customHeight="false" outlineLevel="0" collapsed="false">
      <c r="A137" s="52"/>
      <c r="B137" s="73" t="s">
        <v>400</v>
      </c>
      <c r="C137" s="74" t="n">
        <v>0</v>
      </c>
      <c r="D137" s="74" t="n">
        <v>0</v>
      </c>
      <c r="E137" s="74" t="n">
        <v>0</v>
      </c>
      <c r="F137" s="74" t="n">
        <v>0</v>
      </c>
      <c r="G137" s="74" t="n">
        <v>0</v>
      </c>
      <c r="H137" s="74" t="n">
        <v>0</v>
      </c>
      <c r="I137" s="74" t="n">
        <v>0</v>
      </c>
      <c r="J137" s="74" t="n">
        <v>0</v>
      </c>
      <c r="K137" s="74" t="n">
        <v>0</v>
      </c>
      <c r="L137" s="74" t="n">
        <v>0</v>
      </c>
      <c r="M137" s="74" t="n">
        <v>0</v>
      </c>
      <c r="N137" s="74" t="n">
        <v>0</v>
      </c>
      <c r="O137" s="74" t="n">
        <v>0</v>
      </c>
      <c r="P137" s="71" t="n">
        <f aca="false">ROUND(SUM(C137:O137)/13,0)</f>
        <v>0</v>
      </c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73" t="s">
        <v>401</v>
      </c>
      <c r="AC137" s="74" t="n">
        <v>0</v>
      </c>
      <c r="AD137" s="74" t="n">
        <v>0</v>
      </c>
      <c r="AE137" s="74" t="n">
        <v>0</v>
      </c>
      <c r="AF137" s="74" t="n">
        <v>0</v>
      </c>
      <c r="AG137" s="74" t="n">
        <v>0</v>
      </c>
      <c r="AH137" s="74" t="n">
        <v>0</v>
      </c>
      <c r="AI137" s="74" t="n">
        <v>0</v>
      </c>
      <c r="AJ137" s="74" t="n">
        <v>0</v>
      </c>
      <c r="AK137" s="74" t="n">
        <v>0</v>
      </c>
      <c r="AL137" s="74" t="n">
        <v>0</v>
      </c>
      <c r="AM137" s="74" t="n">
        <v>0</v>
      </c>
      <c r="AN137" s="74" t="n">
        <v>0</v>
      </c>
      <c r="AO137" s="74" t="n">
        <v>0</v>
      </c>
      <c r="AP137" s="71" t="n">
        <f aca="false">ROUND(SUM(AC137:AO137)/13,0)</f>
        <v>0</v>
      </c>
      <c r="AQ137" s="52"/>
      <c r="AR137" s="52"/>
    </row>
    <row r="138" customFormat="false" ht="12.75" hidden="false" customHeight="false" outlineLevel="0" collapsed="false">
      <c r="A138" s="52"/>
      <c r="B138" s="73" t="s">
        <v>402</v>
      </c>
      <c r="C138" s="80" t="n">
        <f aca="false">C81-C137</f>
        <v>499666</v>
      </c>
      <c r="D138" s="80" t="n">
        <f aca="false">D81-D137</f>
        <v>499672</v>
      </c>
      <c r="E138" s="80" t="n">
        <f aca="false">E81-E137</f>
        <v>499678</v>
      </c>
      <c r="F138" s="80" t="n">
        <f aca="false">F81-F137</f>
        <v>499685</v>
      </c>
      <c r="G138" s="80" t="n">
        <f aca="false">G81-G137</f>
        <v>499691</v>
      </c>
      <c r="H138" s="80" t="n">
        <f aca="false">H81-H137</f>
        <v>499698</v>
      </c>
      <c r="I138" s="80" t="n">
        <f aca="false">I81-I137</f>
        <v>499704</v>
      </c>
      <c r="J138" s="80" t="n">
        <f aca="false">J81-J137</f>
        <v>499711</v>
      </c>
      <c r="K138" s="80" t="n">
        <f aca="false">K81-K137</f>
        <v>499717</v>
      </c>
      <c r="L138" s="80" t="n">
        <f aca="false">L81-L137</f>
        <v>499724</v>
      </c>
      <c r="M138" s="80" t="n">
        <f aca="false">M81-M137</f>
        <v>499730</v>
      </c>
      <c r="N138" s="80" t="n">
        <f aca="false">N81-N137</f>
        <v>499737</v>
      </c>
      <c r="O138" s="80" t="n">
        <f aca="false">O81-O137</f>
        <v>499743</v>
      </c>
      <c r="P138" s="80" t="n">
        <f aca="false">ROUND(SUM(C138:O138)/13,0)</f>
        <v>499704</v>
      </c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73" t="s">
        <v>402</v>
      </c>
      <c r="AC138" s="80" t="n">
        <f aca="false">AC81-AC137</f>
        <v>0</v>
      </c>
      <c r="AD138" s="80" t="n">
        <f aca="false">AD81-AD137</f>
        <v>0</v>
      </c>
      <c r="AE138" s="80" t="n">
        <f aca="false">AE81-AE137</f>
        <v>0</v>
      </c>
      <c r="AF138" s="80" t="n">
        <f aca="false">AF81-AF137</f>
        <v>0</v>
      </c>
      <c r="AG138" s="80" t="n">
        <f aca="false">AG81-AG137</f>
        <v>0</v>
      </c>
      <c r="AH138" s="80" t="n">
        <f aca="false">AH81-AH137</f>
        <v>0</v>
      </c>
      <c r="AI138" s="80" t="n">
        <f aca="false">AI81-AI137</f>
        <v>0</v>
      </c>
      <c r="AJ138" s="80" t="n">
        <f aca="false">AJ81-AJ137</f>
        <v>0</v>
      </c>
      <c r="AK138" s="80" t="n">
        <f aca="false">AK81-AK137</f>
        <v>0</v>
      </c>
      <c r="AL138" s="80" t="n">
        <f aca="false">AL81-AL137</f>
        <v>0</v>
      </c>
      <c r="AM138" s="80" t="n">
        <f aca="false">AM81-AM137</f>
        <v>0</v>
      </c>
      <c r="AN138" s="80" t="n">
        <f aca="false">AN81-AN137</f>
        <v>0</v>
      </c>
      <c r="AO138" s="80" t="n">
        <f aca="false">AO81-AO137</f>
        <v>0</v>
      </c>
      <c r="AP138" s="80" t="n">
        <f aca="false">ROUND(SUM(AC138:AO138)/13,0)</f>
        <v>0</v>
      </c>
      <c r="AQ138" s="52"/>
      <c r="AR138" s="52"/>
    </row>
    <row r="139" customFormat="false" ht="6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</row>
    <row r="140" customFormat="false" ht="12.75" hidden="false" customHeight="false" outlineLevel="0" collapsed="false">
      <c r="A140" s="49"/>
      <c r="B140" s="70" t="s">
        <v>403</v>
      </c>
      <c r="C140" s="71" t="n">
        <f aca="false">SUM(C136:C139)</f>
        <v>499666</v>
      </c>
      <c r="D140" s="71" t="n">
        <f aca="false">SUM(D136:D139)</f>
        <v>499672</v>
      </c>
      <c r="E140" s="71" t="n">
        <f aca="false">SUM(E136:E139)</f>
        <v>499678</v>
      </c>
      <c r="F140" s="71" t="n">
        <f aca="false">SUM(F136:F139)</f>
        <v>499685</v>
      </c>
      <c r="G140" s="71" t="n">
        <f aca="false">SUM(G136:G139)</f>
        <v>499691</v>
      </c>
      <c r="H140" s="71" t="n">
        <f aca="false">SUM(H136:H139)</f>
        <v>499698</v>
      </c>
      <c r="I140" s="71" t="n">
        <f aca="false">SUM(I136:I139)</f>
        <v>499704</v>
      </c>
      <c r="J140" s="71" t="n">
        <f aca="false">SUM(J136:J139)</f>
        <v>499711</v>
      </c>
      <c r="K140" s="71" t="n">
        <f aca="false">SUM(K136:K139)</f>
        <v>499717</v>
      </c>
      <c r="L140" s="71" t="n">
        <f aca="false">SUM(L136:L139)</f>
        <v>499724</v>
      </c>
      <c r="M140" s="71" t="n">
        <f aca="false">SUM(M136:M139)</f>
        <v>499730</v>
      </c>
      <c r="N140" s="71" t="n">
        <f aca="false">SUM(N136:N139)</f>
        <v>499737</v>
      </c>
      <c r="O140" s="71" t="n">
        <f aca="false">SUM(O136:O139)</f>
        <v>499743</v>
      </c>
      <c r="P140" s="71" t="n">
        <f aca="false">SUM(P136:P139)</f>
        <v>499704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49"/>
      <c r="AB140" s="70" t="s">
        <v>403</v>
      </c>
      <c r="AC140" s="71" t="n">
        <f aca="false">SUM(AC136:AC139)</f>
        <v>0</v>
      </c>
      <c r="AD140" s="71" t="n">
        <f aca="false">SUM(AD136:AD139)</f>
        <v>0</v>
      </c>
      <c r="AE140" s="71" t="n">
        <f aca="false">SUM(AE136:AE139)</f>
        <v>0</v>
      </c>
      <c r="AF140" s="71" t="n">
        <f aca="false">SUM(AF136:AF139)</f>
        <v>0</v>
      </c>
      <c r="AG140" s="71" t="n">
        <f aca="false">SUM(AG136:AG139)</f>
        <v>0</v>
      </c>
      <c r="AH140" s="71" t="n">
        <f aca="false">SUM(AH136:AH139)</f>
        <v>0</v>
      </c>
      <c r="AI140" s="71" t="n">
        <f aca="false">SUM(AI136:AI139)</f>
        <v>0</v>
      </c>
      <c r="AJ140" s="71" t="n">
        <f aca="false">SUM(AJ136:AJ139)</f>
        <v>0</v>
      </c>
      <c r="AK140" s="71" t="n">
        <f aca="false">SUM(AK136:AK139)</f>
        <v>0</v>
      </c>
      <c r="AL140" s="71" t="n">
        <f aca="false">SUM(AL136:AL139)</f>
        <v>0</v>
      </c>
      <c r="AM140" s="71" t="n">
        <f aca="false">SUM(AM136:AM139)</f>
        <v>0</v>
      </c>
      <c r="AN140" s="71" t="n">
        <f aca="false">SUM(AN136:AN139)</f>
        <v>0</v>
      </c>
      <c r="AO140" s="71" t="n">
        <f aca="false">SUM(AO136:AO139)</f>
        <v>0</v>
      </c>
      <c r="AP140" s="71" t="n">
        <f aca="false">SUM(AP136:AP139)</f>
        <v>0</v>
      </c>
      <c r="AQ140" s="52"/>
      <c r="AR140" s="52"/>
    </row>
    <row r="141" customFormat="false" ht="12.75" hidden="false" customHeight="false" outlineLevel="0" collapsed="false">
      <c r="A141" s="49"/>
      <c r="B141" s="70" t="s">
        <v>404</v>
      </c>
      <c r="C141" s="80" t="n">
        <f aca="false">C87+C88+C90</f>
        <v>1087527</v>
      </c>
      <c r="D141" s="80" t="n">
        <f aca="false">D87+D88+D90</f>
        <v>1107162</v>
      </c>
      <c r="E141" s="80" t="n">
        <f aca="false">E87+E88+E90</f>
        <v>1125947</v>
      </c>
      <c r="F141" s="80" t="n">
        <f aca="false">F87+F88+F90</f>
        <v>1138664</v>
      </c>
      <c r="G141" s="80" t="n">
        <f aca="false">G87+G88+G90</f>
        <v>1141747</v>
      </c>
      <c r="H141" s="80" t="n">
        <f aca="false">H87+H88+H90</f>
        <v>1142736</v>
      </c>
      <c r="I141" s="80" t="n">
        <f aca="false">I87+I88+I90</f>
        <v>1145702</v>
      </c>
      <c r="J141" s="80" t="n">
        <f aca="false">J87+J88+J90</f>
        <v>1147250</v>
      </c>
      <c r="K141" s="80" t="n">
        <f aca="false">K87+K88+K90</f>
        <v>1149724</v>
      </c>
      <c r="L141" s="80" t="n">
        <f aca="false">L87+L88+L90</f>
        <v>1150370</v>
      </c>
      <c r="M141" s="80" t="n">
        <f aca="false">M87+M88+M90</f>
        <v>1149185</v>
      </c>
      <c r="N141" s="80" t="n">
        <f aca="false">N87+N88+N90</f>
        <v>1165536</v>
      </c>
      <c r="O141" s="80" t="n">
        <f aca="false">O87+O88+O90</f>
        <v>1182292</v>
      </c>
      <c r="P141" s="80" t="n">
        <f aca="false">ROUND(SUM(C141:O141)/13,0)</f>
        <v>1141065</v>
      </c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49"/>
      <c r="AB141" s="70" t="s">
        <v>404</v>
      </c>
      <c r="AC141" s="80" t="n">
        <f aca="false">AC87+AC88+AC90</f>
        <v>67757</v>
      </c>
      <c r="AD141" s="80" t="n">
        <f aca="false">AD87+AD88+AD90</f>
        <v>68069</v>
      </c>
      <c r="AE141" s="80" t="n">
        <f aca="false">AE87+AE88+AE90</f>
        <v>68256</v>
      </c>
      <c r="AF141" s="80" t="n">
        <f aca="false">AF87+AF88+AF90</f>
        <v>63455</v>
      </c>
      <c r="AG141" s="80" t="n">
        <f aca="false">AG87+AG88+AG90</f>
        <v>64263</v>
      </c>
      <c r="AH141" s="80" t="n">
        <f aca="false">AH87+AH88+AH90</f>
        <v>64439</v>
      </c>
      <c r="AI141" s="80" t="n">
        <f aca="false">AI87+AI88+AI90</f>
        <v>64695</v>
      </c>
      <c r="AJ141" s="80" t="n">
        <f aca="false">AJ87+AJ88+AJ90</f>
        <v>64884</v>
      </c>
      <c r="AK141" s="80" t="n">
        <f aca="false">AK87+AK88+AK90</f>
        <v>65033</v>
      </c>
      <c r="AL141" s="80" t="n">
        <f aca="false">AL87+AL88+AL90</f>
        <v>65216</v>
      </c>
      <c r="AM141" s="80" t="n">
        <f aca="false">AM87+AM88+AM90</f>
        <v>65403</v>
      </c>
      <c r="AN141" s="80" t="n">
        <f aca="false">AN87+AN88+AN90</f>
        <v>65600</v>
      </c>
      <c r="AO141" s="80" t="n">
        <f aca="false">AO87+AO88+AO90</f>
        <v>65592</v>
      </c>
      <c r="AP141" s="80" t="n">
        <f aca="false">ROUND(SUM(AC141:AO141)/13,0)</f>
        <v>65589</v>
      </c>
      <c r="AQ141" s="52"/>
      <c r="AR141" s="52"/>
    </row>
    <row r="142" customFormat="false" ht="12.75" hidden="false" customHeight="fals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</row>
    <row r="143" customFormat="false" ht="12.75" hidden="false" customHeight="fals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</row>
    <row r="144" customFormat="false" ht="12.75" hidden="false" customHeight="false" outlineLevel="0" collapsed="false">
      <c r="A144" s="49"/>
      <c r="B144" s="70" t="s">
        <v>405</v>
      </c>
      <c r="C144" s="85" t="n">
        <f aca="false">SUM(C140:C142)</f>
        <v>1587193</v>
      </c>
      <c r="D144" s="85" t="n">
        <f aca="false">SUM(D140:D142)</f>
        <v>1606834</v>
      </c>
      <c r="E144" s="85" t="n">
        <f aca="false">SUM(E140:E142)</f>
        <v>1625625</v>
      </c>
      <c r="F144" s="85" t="n">
        <f aca="false">SUM(F140:F142)</f>
        <v>1638349</v>
      </c>
      <c r="G144" s="85" t="n">
        <f aca="false">SUM(G140:G142)</f>
        <v>1641438</v>
      </c>
      <c r="H144" s="85" t="n">
        <f aca="false">SUM(H140:H142)</f>
        <v>1642434</v>
      </c>
      <c r="I144" s="85" t="n">
        <f aca="false">SUM(I140:I142)</f>
        <v>1645406</v>
      </c>
      <c r="J144" s="85" t="n">
        <f aca="false">SUM(J140:J142)</f>
        <v>1646961</v>
      </c>
      <c r="K144" s="85" t="n">
        <f aca="false">SUM(K140:K142)</f>
        <v>1649441</v>
      </c>
      <c r="L144" s="85" t="n">
        <f aca="false">SUM(L140:L142)</f>
        <v>1650094</v>
      </c>
      <c r="M144" s="85" t="n">
        <f aca="false">SUM(M140:M142)</f>
        <v>1648915</v>
      </c>
      <c r="N144" s="85" t="n">
        <f aca="false">SUM(N140:N142)</f>
        <v>1665273</v>
      </c>
      <c r="O144" s="85" t="n">
        <f aca="false">SUM(O140:O142)</f>
        <v>1682035</v>
      </c>
      <c r="P144" s="85" t="n">
        <f aca="false">SUM(P140:P142)</f>
        <v>1640769</v>
      </c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49"/>
      <c r="AB144" s="70" t="s">
        <v>405</v>
      </c>
      <c r="AC144" s="85" t="n">
        <f aca="false">SUM(AC140:AC142)</f>
        <v>67757</v>
      </c>
      <c r="AD144" s="85" t="n">
        <f aca="false">SUM(AD140:AD142)</f>
        <v>68069</v>
      </c>
      <c r="AE144" s="85" t="n">
        <f aca="false">SUM(AE140:AE142)</f>
        <v>68256</v>
      </c>
      <c r="AF144" s="85" t="n">
        <f aca="false">SUM(AF140:AF142)</f>
        <v>63455</v>
      </c>
      <c r="AG144" s="85" t="n">
        <f aca="false">SUM(AG140:AG142)</f>
        <v>64263</v>
      </c>
      <c r="AH144" s="85" t="n">
        <f aca="false">SUM(AH140:AH142)</f>
        <v>64439</v>
      </c>
      <c r="AI144" s="85" t="n">
        <f aca="false">SUM(AI140:AI142)</f>
        <v>64695</v>
      </c>
      <c r="AJ144" s="85" t="n">
        <f aca="false">SUM(AJ140:AJ142)</f>
        <v>64884</v>
      </c>
      <c r="AK144" s="85" t="n">
        <f aca="false">SUM(AK140:AK142)</f>
        <v>65033</v>
      </c>
      <c r="AL144" s="85" t="n">
        <f aca="false">SUM(AL140:AL142)</f>
        <v>65216</v>
      </c>
      <c r="AM144" s="85" t="n">
        <f aca="false">SUM(AM140:AM142)</f>
        <v>65403</v>
      </c>
      <c r="AN144" s="85" t="n">
        <f aca="false">SUM(AN140:AN142)</f>
        <v>65600</v>
      </c>
      <c r="AO144" s="85" t="n">
        <f aca="false">SUM(AO140:AO142)</f>
        <v>65592</v>
      </c>
      <c r="AP144" s="85" t="n">
        <f aca="false">SUM(AP140:AP142)</f>
        <v>65589</v>
      </c>
      <c r="AQ144" s="52"/>
      <c r="AR144" s="52"/>
    </row>
    <row r="145" customFormat="false" ht="12.75" hidden="false" customHeight="false" outlineLevel="0" collapsed="false">
      <c r="A145" s="52"/>
      <c r="B145" s="52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52"/>
      <c r="AR145" s="52"/>
    </row>
    <row r="146" customFormat="false" ht="12.75" hidden="false" customHeight="false" outlineLevel="0" collapsed="false">
      <c r="A146" s="52"/>
      <c r="B146" s="52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52"/>
      <c r="AQ146" s="52"/>
      <c r="AR146" s="52"/>
    </row>
    <row r="147" customFormat="false" ht="12.75" hidden="false" customHeight="false" outlineLevel="0" collapsed="false">
      <c r="A147" s="49"/>
      <c r="B147" s="70" t="s">
        <v>406</v>
      </c>
      <c r="C147" s="52"/>
      <c r="D147" s="78" t="n">
        <v>0</v>
      </c>
      <c r="E147" s="78" t="n">
        <v>0</v>
      </c>
      <c r="F147" s="78" t="n">
        <v>0</v>
      </c>
      <c r="G147" s="78" t="n">
        <v>0</v>
      </c>
      <c r="H147" s="78" t="n">
        <v>0</v>
      </c>
      <c r="I147" s="78" t="n">
        <v>0</v>
      </c>
      <c r="J147" s="78" t="n">
        <v>0</v>
      </c>
      <c r="K147" s="78" t="n">
        <v>0</v>
      </c>
      <c r="L147" s="78" t="n">
        <v>0</v>
      </c>
      <c r="M147" s="78" t="n">
        <v>0</v>
      </c>
      <c r="N147" s="78" t="n">
        <v>0</v>
      </c>
      <c r="O147" s="78" t="n">
        <v>0</v>
      </c>
      <c r="P147" s="78" t="n">
        <v>0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49"/>
      <c r="AB147" s="70" t="s">
        <v>406</v>
      </c>
      <c r="AC147" s="52"/>
      <c r="AD147" s="74" t="n">
        <v>0</v>
      </c>
      <c r="AE147" s="74" t="n">
        <v>0</v>
      </c>
      <c r="AF147" s="74" t="n">
        <v>0</v>
      </c>
      <c r="AG147" s="74" t="n">
        <v>0</v>
      </c>
      <c r="AH147" s="74" t="n">
        <v>0</v>
      </c>
      <c r="AI147" s="74" t="n">
        <v>0</v>
      </c>
      <c r="AJ147" s="74" t="n">
        <v>0</v>
      </c>
      <c r="AK147" s="74" t="n">
        <v>0</v>
      </c>
      <c r="AL147" s="74" t="n">
        <v>0</v>
      </c>
      <c r="AM147" s="74" t="n">
        <v>0</v>
      </c>
      <c r="AN147" s="74" t="n">
        <v>0</v>
      </c>
      <c r="AO147" s="74" t="n">
        <v>0</v>
      </c>
      <c r="AP147" s="74" t="n">
        <v>0</v>
      </c>
      <c r="AQ147" s="52"/>
      <c r="AR147" s="52"/>
    </row>
    <row r="148" customFormat="false" ht="12.75" hidden="false" customHeight="fals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</row>
    <row r="149" customFormat="false" ht="12.75" hidden="false" customHeight="false" outlineLevel="0" collapsed="false">
      <c r="A149" s="49"/>
      <c r="B149" s="70" t="s">
        <v>407</v>
      </c>
      <c r="C149" s="52"/>
      <c r="D149" s="92" t="n">
        <f aca="false">D147/D144</f>
        <v>0</v>
      </c>
      <c r="E149" s="92" t="n">
        <f aca="false">E147/E144</f>
        <v>0</v>
      </c>
      <c r="F149" s="92" t="n">
        <f aca="false">F147/F144</f>
        <v>0</v>
      </c>
      <c r="G149" s="92" t="n">
        <f aca="false">G147/G144</f>
        <v>0</v>
      </c>
      <c r="H149" s="92" t="n">
        <f aca="false">H147/H144</f>
        <v>0</v>
      </c>
      <c r="I149" s="92" t="n">
        <f aca="false">I147/I144</f>
        <v>0</v>
      </c>
      <c r="J149" s="92" t="n">
        <f aca="false">J147/J144</f>
        <v>0</v>
      </c>
      <c r="K149" s="92" t="n">
        <f aca="false">K147/K144</f>
        <v>0</v>
      </c>
      <c r="L149" s="92" t="n">
        <f aca="false">L147/L144</f>
        <v>0</v>
      </c>
      <c r="M149" s="92" t="n">
        <f aca="false">M147/M144</f>
        <v>0</v>
      </c>
      <c r="N149" s="92" t="n">
        <f aca="false">N147/N144</f>
        <v>0</v>
      </c>
      <c r="O149" s="92" t="n">
        <f aca="false">O147/O144</f>
        <v>0</v>
      </c>
      <c r="P149" s="92" t="n">
        <f aca="false">P147/P144</f>
        <v>0</v>
      </c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49"/>
      <c r="AB149" s="70" t="s">
        <v>407</v>
      </c>
      <c r="AC149" s="52"/>
      <c r="AD149" s="92" t="n">
        <f aca="false">AD147/AD144</f>
        <v>0</v>
      </c>
      <c r="AE149" s="92" t="n">
        <f aca="false">AE147/AE144</f>
        <v>0</v>
      </c>
      <c r="AF149" s="92" t="n">
        <f aca="false">AF147/AF144</f>
        <v>0</v>
      </c>
      <c r="AG149" s="92" t="n">
        <f aca="false">AG147/AG144</f>
        <v>0</v>
      </c>
      <c r="AH149" s="92" t="n">
        <f aca="false">AH147/AH144</f>
        <v>0</v>
      </c>
      <c r="AI149" s="92" t="n">
        <f aca="false">AI147/AI144</f>
        <v>0</v>
      </c>
      <c r="AJ149" s="92" t="n">
        <f aca="false">AJ147/AJ144</f>
        <v>0</v>
      </c>
      <c r="AK149" s="92" t="n">
        <f aca="false">AK147/AK144</f>
        <v>0</v>
      </c>
      <c r="AL149" s="92" t="n">
        <f aca="false">AL147/AL144</f>
        <v>0</v>
      </c>
      <c r="AM149" s="92" t="n">
        <f aca="false">AM147/AM144</f>
        <v>0</v>
      </c>
      <c r="AN149" s="92" t="n">
        <f aca="false">AN147/AN144</f>
        <v>0</v>
      </c>
      <c r="AO149" s="92" t="n">
        <f aca="false">AO147/AO144</f>
        <v>0</v>
      </c>
      <c r="AP149" s="92" t="n">
        <f aca="false">AP147/AP144</f>
        <v>0</v>
      </c>
      <c r="AQ149" s="52"/>
      <c r="AR149" s="52"/>
    </row>
    <row r="150" customFormat="false" ht="12.75" hidden="false" customHeight="fals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</row>
    <row r="151" customFormat="false" ht="12.75" hidden="false" customHeight="false" outlineLevel="0" collapsed="false">
      <c r="A151" s="52"/>
      <c r="B151" s="73" t="s">
        <v>368</v>
      </c>
      <c r="C151" s="71" t="e">
        <f aca="false">C123-C133-C144</f>
        <v>#REF!</v>
      </c>
      <c r="D151" s="71" t="e">
        <f aca="false">D123-D133-D144</f>
        <v>#REF!</v>
      </c>
      <c r="E151" s="71" t="e">
        <f aca="false">E123-E133-E144</f>
        <v>#REF!</v>
      </c>
      <c r="F151" s="71" t="e">
        <f aca="false">F123-F133-F144</f>
        <v>#REF!</v>
      </c>
      <c r="G151" s="71" t="e">
        <f aca="false">G123-G133-G144</f>
        <v>#REF!</v>
      </c>
      <c r="H151" s="71" t="e">
        <f aca="false">H123-H133-H144</f>
        <v>#REF!</v>
      </c>
      <c r="I151" s="71" t="e">
        <f aca="false">I123-I133-I144</f>
        <v>#REF!</v>
      </c>
      <c r="J151" s="71" t="e">
        <f aca="false">J123-J133-J144</f>
        <v>#REF!</v>
      </c>
      <c r="K151" s="71" t="e">
        <f aca="false">K123-K133-K144</f>
        <v>#REF!</v>
      </c>
      <c r="L151" s="71" t="e">
        <f aca="false">L123-L133-L144</f>
        <v>#REF!</v>
      </c>
      <c r="M151" s="71" t="e">
        <f aca="false">M123-M133-M144</f>
        <v>#REF!</v>
      </c>
      <c r="N151" s="71" t="e">
        <f aca="false">N123-N133-N144</f>
        <v>#REF!</v>
      </c>
      <c r="O151" s="71" t="e">
        <f aca="false">O123-O133-O144</f>
        <v>#REF!</v>
      </c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73" t="s">
        <v>368</v>
      </c>
      <c r="AC151" s="71" t="e">
        <f aca="false">AC123-AC133-AC144</f>
        <v>#REF!</v>
      </c>
      <c r="AD151" s="71" t="e">
        <f aca="false">AD123-AD133-AD144</f>
        <v>#REF!</v>
      </c>
      <c r="AE151" s="71" t="e">
        <f aca="false">AE123-AE133-AE144</f>
        <v>#REF!</v>
      </c>
      <c r="AF151" s="71" t="e">
        <f aca="false">AF123-AF133-AF144</f>
        <v>#REF!</v>
      </c>
      <c r="AG151" s="71" t="e">
        <f aca="false">AG123-AG133-AG144</f>
        <v>#REF!</v>
      </c>
      <c r="AH151" s="71" t="e">
        <f aca="false">AH123-AH133-AH144</f>
        <v>#REF!</v>
      </c>
      <c r="AI151" s="71" t="e">
        <f aca="false">AI123-AI133-AI144</f>
        <v>#REF!</v>
      </c>
      <c r="AJ151" s="71" t="e">
        <f aca="false">AJ123-AJ133-AJ144</f>
        <v>#REF!</v>
      </c>
      <c r="AK151" s="71" t="e">
        <f aca="false">AK123-AK133-AK144</f>
        <v>#REF!</v>
      </c>
      <c r="AL151" s="71" t="e">
        <f aca="false">AL123-AL133-AL144</f>
        <v>#REF!</v>
      </c>
      <c r="AM151" s="71" t="e">
        <f aca="false">AM123-AM133-AM144</f>
        <v>#REF!</v>
      </c>
      <c r="AN151" s="71" t="e">
        <f aca="false">AN123-AN133-AN144</f>
        <v>#REF!</v>
      </c>
      <c r="AO151" s="71" t="e">
        <f aca="false">AO123-AO133-AO144</f>
        <v>#REF!</v>
      </c>
      <c r="AP151" s="52"/>
      <c r="AQ151" s="52"/>
      <c r="AR151" s="52"/>
    </row>
    <row r="152" customFormat="false" ht="12.75" hidden="false" customHeight="fals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</row>
    <row r="153" customFormat="false" ht="12.75" hidden="false" customHeight="fals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</row>
    <row r="154" customFormat="false" ht="12.75" hidden="false" customHeight="fals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</row>
    <row r="155" customFormat="false" ht="8.1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</row>
    <row r="156" customFormat="false" ht="12.75" hidden="false" customHeight="fals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</row>
    <row r="157" customFormat="false" ht="12.75" hidden="false" customHeight="false" outlineLevel="0" collapsed="false">
      <c r="A157" s="53" t="str">
        <f aca="false">A1</f>
        <v>'file:///mnt/12tb/@roms/datasets/enron/EDRM Enron Email Data Set v2 XML/filtered-attachments/xls/NNG3rdCECF.xls'#$BACKUP</v>
      </c>
      <c r="B157" s="49"/>
      <c r="C157" s="49"/>
      <c r="D157" s="49"/>
      <c r="E157" s="49"/>
      <c r="F157" s="50" t="str">
        <f aca="false">F1</f>
        <v>NORTHERN NATURAL GAS GROUP</v>
      </c>
      <c r="G157" s="50"/>
      <c r="H157" s="50"/>
      <c r="I157" s="50"/>
      <c r="J157" s="49"/>
      <c r="K157" s="49"/>
      <c r="L157" s="49"/>
      <c r="M157" s="49"/>
      <c r="N157" s="49"/>
      <c r="O157" s="49"/>
      <c r="P157" s="51" t="n">
        <f aca="true">NOW()</f>
        <v>45926.9494834215</v>
      </c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3" t="str">
        <f aca="false">A1</f>
        <v>'file:///mnt/12tb/@roms/datasets/enron/EDRM Enron Email Data Set v2 XML/filtered-attachments/xls/NNG3rdCECF.xls'#$BACKUP</v>
      </c>
      <c r="AB157" s="49"/>
      <c r="AC157" s="49"/>
      <c r="AD157" s="49"/>
      <c r="AE157" s="49"/>
      <c r="AF157" s="50" t="str">
        <f aca="false">AE1</f>
        <v>TRAILBLAZER &amp; OVERTHRUST PIPELINES</v>
      </c>
      <c r="AG157" s="50"/>
      <c r="AH157" s="50"/>
      <c r="AI157" s="50"/>
      <c r="AJ157" s="49"/>
      <c r="AK157" s="49"/>
      <c r="AL157" s="49"/>
      <c r="AM157" s="49"/>
      <c r="AN157" s="49"/>
      <c r="AO157" s="49"/>
      <c r="AP157" s="51" t="n">
        <f aca="true">NOW()</f>
        <v>45926.9494834215</v>
      </c>
      <c r="AQ157" s="52"/>
      <c r="AR157" s="52"/>
    </row>
    <row r="158" customFormat="false" ht="12.75" hidden="false" customHeight="false" outlineLevel="0" collapsed="false">
      <c r="A158" s="58" t="s">
        <v>408</v>
      </c>
      <c r="B158" s="49"/>
      <c r="C158" s="49"/>
      <c r="D158" s="49"/>
      <c r="E158" s="49"/>
      <c r="F158" s="88" t="s">
        <v>409</v>
      </c>
      <c r="G158" s="88"/>
      <c r="H158" s="88"/>
      <c r="I158" s="88"/>
      <c r="J158" s="49"/>
      <c r="K158" s="49"/>
      <c r="L158" s="49"/>
      <c r="M158" s="49"/>
      <c r="N158" s="49"/>
      <c r="O158" s="49"/>
      <c r="P158" s="57" t="n">
        <f aca="true">NOW()</f>
        <v>45926.9494834216</v>
      </c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8" t="s">
        <v>410</v>
      </c>
      <c r="AB158" s="49"/>
      <c r="AC158" s="49"/>
      <c r="AD158" s="49"/>
      <c r="AE158" s="49"/>
      <c r="AF158" s="88" t="s">
        <v>409</v>
      </c>
      <c r="AG158" s="88"/>
      <c r="AH158" s="88"/>
      <c r="AI158" s="88"/>
      <c r="AJ158" s="49"/>
      <c r="AK158" s="49"/>
      <c r="AL158" s="49"/>
      <c r="AM158" s="49"/>
      <c r="AN158" s="49"/>
      <c r="AO158" s="49"/>
      <c r="AP158" s="57" t="n">
        <f aca="true">NOW()</f>
        <v>45926.9494834216</v>
      </c>
      <c r="AQ158" s="52"/>
      <c r="AR158" s="52"/>
    </row>
    <row r="159" customFormat="false" ht="12.75" hidden="false" customHeight="false" outlineLevel="0" collapsed="false">
      <c r="A159" s="60"/>
      <c r="B159" s="49"/>
      <c r="C159" s="49"/>
      <c r="D159" s="49"/>
      <c r="E159" s="49"/>
      <c r="F159" s="50" t="str">
        <f aca="false">F3</f>
        <v>2001 ACTUAL / ESTIMATE</v>
      </c>
      <c r="G159" s="50"/>
      <c r="H159" s="50"/>
      <c r="I159" s="50"/>
      <c r="J159" s="49"/>
      <c r="K159" s="49"/>
      <c r="L159" s="49"/>
      <c r="M159" s="49"/>
      <c r="N159" s="49"/>
      <c r="O159" s="49"/>
      <c r="P159" s="49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60"/>
      <c r="AB159" s="49"/>
      <c r="AC159" s="49"/>
      <c r="AD159" s="49"/>
      <c r="AE159" s="49"/>
      <c r="AF159" s="50" t="str">
        <f aca="false">AF3</f>
        <v>2001 ACTUAL / ESTIMATE</v>
      </c>
      <c r="AG159" s="50"/>
      <c r="AH159" s="50"/>
      <c r="AI159" s="50"/>
      <c r="AJ159" s="49"/>
      <c r="AK159" s="49"/>
      <c r="AL159" s="49"/>
      <c r="AM159" s="49"/>
      <c r="AN159" s="49"/>
      <c r="AO159" s="49"/>
      <c r="AP159" s="49"/>
      <c r="AQ159" s="52"/>
      <c r="AR159" s="52"/>
    </row>
    <row r="160" customFormat="false" ht="12.75" hidden="false" customHeight="false" outlineLevel="0" collapsed="false">
      <c r="A160" s="49"/>
      <c r="B160" s="49"/>
      <c r="C160" s="49"/>
      <c r="D160" s="49"/>
      <c r="E160" s="49"/>
      <c r="F160" s="50" t="str">
        <f aca="false">F4</f>
        <v>(Thousands of Dollars)</v>
      </c>
      <c r="G160" s="50"/>
      <c r="H160" s="50"/>
      <c r="I160" s="50"/>
      <c r="J160" s="49"/>
      <c r="K160" s="49"/>
      <c r="L160" s="49"/>
      <c r="M160" s="49"/>
      <c r="N160" s="49"/>
      <c r="O160" s="49"/>
      <c r="P160" s="49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49"/>
      <c r="AB160" s="49"/>
      <c r="AC160" s="49"/>
      <c r="AD160" s="49"/>
      <c r="AE160" s="49"/>
      <c r="AF160" s="50" t="str">
        <f aca="false">AF4</f>
        <v>(Thousands of Dollars)</v>
      </c>
      <c r="AG160" s="50"/>
      <c r="AH160" s="50"/>
      <c r="AI160" s="50"/>
      <c r="AJ160" s="49"/>
      <c r="AK160" s="49"/>
      <c r="AL160" s="49"/>
      <c r="AM160" s="49"/>
      <c r="AN160" s="49"/>
      <c r="AO160" s="49"/>
      <c r="AP160" s="49"/>
      <c r="AQ160" s="52"/>
      <c r="AR160" s="52"/>
    </row>
    <row r="161" customFormat="false" ht="12.75" hidden="false" customHeight="false" outlineLevel="0" collapsed="false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52"/>
      <c r="AR161" s="52"/>
    </row>
    <row r="162" customFormat="false" ht="12.75" hidden="false" customHeight="false" outlineLevel="0" collapsed="false">
      <c r="A162" s="49"/>
      <c r="B162" s="49"/>
      <c r="C162" s="61"/>
      <c r="D162" s="93"/>
      <c r="E162" s="94"/>
      <c r="F162" s="93"/>
      <c r="G162" s="95"/>
      <c r="H162" s="95"/>
      <c r="I162" s="90"/>
      <c r="J162" s="95"/>
      <c r="K162" s="93"/>
      <c r="L162" s="93"/>
      <c r="M162" s="93"/>
      <c r="N162" s="93"/>
      <c r="O162" s="93"/>
      <c r="P162" s="49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49"/>
      <c r="AB162" s="49"/>
      <c r="AC162" s="49"/>
      <c r="AD162" s="49"/>
      <c r="AE162" s="52"/>
      <c r="AF162" s="49"/>
      <c r="AG162" s="61"/>
      <c r="AH162" s="61"/>
      <c r="AI162" s="49"/>
      <c r="AJ162" s="49"/>
      <c r="AK162" s="49"/>
      <c r="AL162" s="49"/>
      <c r="AM162" s="49"/>
      <c r="AN162" s="49"/>
      <c r="AO162" s="49"/>
      <c r="AP162" s="49"/>
      <c r="AQ162" s="52"/>
      <c r="AR162" s="52"/>
    </row>
    <row r="163" customFormat="false" ht="12.75" hidden="false" customHeight="false" outlineLevel="0" collapsed="false">
      <c r="A163" s="49"/>
      <c r="B163" s="49"/>
      <c r="C163" s="63" t="str">
        <f aca="false">C7</f>
        <v>ACTUAL</v>
      </c>
      <c r="D163" s="63" t="str">
        <f aca="false">D7</f>
        <v>ACT.</v>
      </c>
      <c r="E163" s="63" t="str">
        <f aca="false">E7</f>
        <v>ACT.</v>
      </c>
      <c r="F163" s="63" t="str">
        <f aca="false">F7</f>
        <v>ACT.</v>
      </c>
      <c r="G163" s="63" t="str">
        <f aca="false">G7</f>
        <v>ACT.</v>
      </c>
      <c r="H163" s="63" t="str">
        <f aca="false">H7</f>
        <v>ACT.</v>
      </c>
      <c r="I163" s="63" t="str">
        <f aca="false">I7</f>
        <v>ACT.</v>
      </c>
      <c r="J163" s="63" t="str">
        <f aca="false">J7</f>
        <v>ACT.</v>
      </c>
      <c r="K163" s="63" t="str">
        <f aca="false">K7</f>
        <v>ACT.</v>
      </c>
      <c r="L163" s="63" t="str">
        <f aca="false">L7</f>
        <v>3rd CE</v>
      </c>
      <c r="M163" s="63" t="str">
        <f aca="false">M7</f>
        <v>3rd CE</v>
      </c>
      <c r="N163" s="63" t="str">
        <f aca="false">N7</f>
        <v>3rd CE</v>
      </c>
      <c r="O163" s="63" t="str">
        <f aca="false">O7</f>
        <v>3rd CE</v>
      </c>
      <c r="P163" s="49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9"/>
      <c r="AB163" s="49"/>
      <c r="AC163" s="90" t="s">
        <v>7</v>
      </c>
      <c r="AD163" s="90" t="s">
        <v>7</v>
      </c>
      <c r="AE163" s="90" t="s">
        <v>7</v>
      </c>
      <c r="AF163" s="90" t="s">
        <v>7</v>
      </c>
      <c r="AG163" s="90" t="s">
        <v>7</v>
      </c>
      <c r="AH163" s="90" t="s">
        <v>7</v>
      </c>
      <c r="AI163" s="90" t="s">
        <v>7</v>
      </c>
      <c r="AJ163" s="90" t="s">
        <v>7</v>
      </c>
      <c r="AK163" s="90" t="s">
        <v>7</v>
      </c>
      <c r="AL163" s="90" t="s">
        <v>7</v>
      </c>
      <c r="AM163" s="90" t="s">
        <v>7</v>
      </c>
      <c r="AN163" s="90" t="s">
        <v>7</v>
      </c>
      <c r="AO163" s="90" t="s">
        <v>7</v>
      </c>
      <c r="AP163" s="49"/>
      <c r="AQ163" s="52"/>
      <c r="AR163" s="52"/>
    </row>
    <row r="164" customFormat="false" ht="12.75" hidden="false" customHeight="false" outlineLevel="0" collapsed="false">
      <c r="A164" s="49"/>
      <c r="B164" s="49"/>
      <c r="C164" s="65" t="str">
        <f aca="false">C8</f>
        <v>BALANCE </v>
      </c>
      <c r="D164" s="65" t="str">
        <f aca="false">D8</f>
        <v>JAN</v>
      </c>
      <c r="E164" s="65" t="str">
        <f aca="false">E8</f>
        <v>FEB</v>
      </c>
      <c r="F164" s="65" t="str">
        <f aca="false">F8</f>
        <v>MAR</v>
      </c>
      <c r="G164" s="65" t="str">
        <f aca="false">G8</f>
        <v>APR</v>
      </c>
      <c r="H164" s="65" t="str">
        <f aca="false">H8</f>
        <v>MAY</v>
      </c>
      <c r="I164" s="65" t="str">
        <f aca="false">I8</f>
        <v>JUNE</v>
      </c>
      <c r="J164" s="65" t="str">
        <f aca="false">J8</f>
        <v>JUL</v>
      </c>
      <c r="K164" s="65" t="str">
        <f aca="false">K8</f>
        <v>AUG</v>
      </c>
      <c r="L164" s="65" t="str">
        <f aca="false">L8</f>
        <v>SEP</v>
      </c>
      <c r="M164" s="65" t="str">
        <f aca="false">M8</f>
        <v>OCT</v>
      </c>
      <c r="N164" s="65" t="str">
        <f aca="false">N8</f>
        <v>NOV</v>
      </c>
      <c r="O164" s="65" t="str">
        <f aca="false">O8</f>
        <v>DEC</v>
      </c>
      <c r="P164" s="49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49"/>
      <c r="AB164" s="49"/>
      <c r="AC164" s="89" t="s">
        <v>24</v>
      </c>
      <c r="AD164" s="89" t="s">
        <v>13</v>
      </c>
      <c r="AE164" s="89" t="s">
        <v>14</v>
      </c>
      <c r="AF164" s="89" t="s">
        <v>15</v>
      </c>
      <c r="AG164" s="89" t="s">
        <v>16</v>
      </c>
      <c r="AH164" s="89" t="s">
        <v>17</v>
      </c>
      <c r="AI164" s="89" t="s">
        <v>296</v>
      </c>
      <c r="AJ164" s="89" t="s">
        <v>19</v>
      </c>
      <c r="AK164" s="89" t="s">
        <v>20</v>
      </c>
      <c r="AL164" s="89" t="s">
        <v>21</v>
      </c>
      <c r="AM164" s="89" t="s">
        <v>22</v>
      </c>
      <c r="AN164" s="89" t="s">
        <v>23</v>
      </c>
      <c r="AO164" s="89" t="s">
        <v>24</v>
      </c>
      <c r="AP164" s="49"/>
      <c r="AQ164" s="52"/>
      <c r="AR164" s="52"/>
    </row>
    <row r="165" customFormat="false" ht="12.75" hidden="false" customHeight="false" outlineLevel="0" collapsed="false">
      <c r="A165" s="49"/>
      <c r="B165" s="49"/>
      <c r="C165" s="68" t="str">
        <f aca="false">C9</f>
        <v>12/31/00</v>
      </c>
      <c r="D165" s="68" t="n">
        <f aca="false">D9</f>
        <v>2001</v>
      </c>
      <c r="E165" s="68" t="n">
        <f aca="false">E9</f>
        <v>2001</v>
      </c>
      <c r="F165" s="68" t="n">
        <f aca="false">F9</f>
        <v>2001</v>
      </c>
      <c r="G165" s="68" t="n">
        <f aca="false">G9</f>
        <v>2001</v>
      </c>
      <c r="H165" s="68" t="n">
        <f aca="false">H9</f>
        <v>2001</v>
      </c>
      <c r="I165" s="68" t="n">
        <f aca="false">I9</f>
        <v>2001</v>
      </c>
      <c r="J165" s="68" t="n">
        <f aca="false">J9</f>
        <v>2001</v>
      </c>
      <c r="K165" s="68" t="n">
        <f aca="false">K9</f>
        <v>2001</v>
      </c>
      <c r="L165" s="68" t="n">
        <f aca="false">L9</f>
        <v>2001</v>
      </c>
      <c r="M165" s="68" t="n">
        <f aca="false">M9</f>
        <v>2001</v>
      </c>
      <c r="N165" s="68" t="n">
        <f aca="false">N9</f>
        <v>2001</v>
      </c>
      <c r="O165" s="68" t="n">
        <f aca="false">O9</f>
        <v>2001</v>
      </c>
      <c r="P165" s="96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9"/>
      <c r="AB165" s="49"/>
      <c r="AC165" s="91" t="s">
        <v>376</v>
      </c>
      <c r="AD165" s="91" t="s">
        <v>374</v>
      </c>
      <c r="AE165" s="91" t="s">
        <v>374</v>
      </c>
      <c r="AF165" s="91" t="s">
        <v>374</v>
      </c>
      <c r="AG165" s="91" t="s">
        <v>374</v>
      </c>
      <c r="AH165" s="91" t="s">
        <v>374</v>
      </c>
      <c r="AI165" s="91" t="s">
        <v>374</v>
      </c>
      <c r="AJ165" s="91" t="s">
        <v>374</v>
      </c>
      <c r="AK165" s="91" t="s">
        <v>374</v>
      </c>
      <c r="AL165" s="91" t="s">
        <v>374</v>
      </c>
      <c r="AM165" s="91" t="s">
        <v>374</v>
      </c>
      <c r="AN165" s="91" t="s">
        <v>374</v>
      </c>
      <c r="AO165" s="91" t="s">
        <v>374</v>
      </c>
      <c r="AP165" s="96"/>
      <c r="AQ165" s="52"/>
      <c r="AR165" s="52"/>
    </row>
    <row r="166" customFormat="false" ht="6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</row>
    <row r="167" customFormat="false" ht="12.75" hidden="false" customHeight="false" outlineLevel="0" collapsed="false">
      <c r="A167" s="49"/>
      <c r="B167" s="70" t="s">
        <v>411</v>
      </c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49"/>
      <c r="AB167" s="70" t="s">
        <v>411</v>
      </c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</row>
    <row r="168" customFormat="false" ht="12.75" hidden="false" customHeight="false" outlineLevel="0" collapsed="false">
      <c r="A168" s="72" t="s">
        <v>298</v>
      </c>
      <c r="B168" s="73" t="s">
        <v>412</v>
      </c>
      <c r="C168" s="71" t="n">
        <f aca="false">C12</f>
        <v>53</v>
      </c>
      <c r="D168" s="71" t="n">
        <f aca="false">D12</f>
        <v>53</v>
      </c>
      <c r="E168" s="71" t="n">
        <f aca="false">E12</f>
        <v>53</v>
      </c>
      <c r="F168" s="71" t="n">
        <f aca="false">F12</f>
        <v>53</v>
      </c>
      <c r="G168" s="71" t="n">
        <f aca="false">G12</f>
        <v>53</v>
      </c>
      <c r="H168" s="71" t="n">
        <f aca="false">H12</f>
        <v>53</v>
      </c>
      <c r="I168" s="71" t="n">
        <f aca="false">I12</f>
        <v>53</v>
      </c>
      <c r="J168" s="71" t="n">
        <f aca="false">J12</f>
        <v>53</v>
      </c>
      <c r="K168" s="71" t="n">
        <f aca="false">K12</f>
        <v>53</v>
      </c>
      <c r="L168" s="71" t="n">
        <f aca="false">L12</f>
        <v>53</v>
      </c>
      <c r="M168" s="71" t="n">
        <f aca="false">M12</f>
        <v>53</v>
      </c>
      <c r="N168" s="71" t="n">
        <f aca="false">N12</f>
        <v>53</v>
      </c>
      <c r="O168" s="71" t="n">
        <f aca="false">O12</f>
        <v>53</v>
      </c>
      <c r="P168" s="71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72" t="s">
        <v>298</v>
      </c>
      <c r="AB168" s="73" t="s">
        <v>412</v>
      </c>
      <c r="AC168" s="71" t="n">
        <f aca="false">AC12</f>
        <v>0</v>
      </c>
      <c r="AD168" s="71" t="n">
        <f aca="false">AD12</f>
        <v>0</v>
      </c>
      <c r="AE168" s="71" t="n">
        <f aca="false">AE12</f>
        <v>0</v>
      </c>
      <c r="AF168" s="71" t="n">
        <f aca="false">AF12</f>
        <v>0</v>
      </c>
      <c r="AG168" s="71" t="n">
        <f aca="false">AG12</f>
        <v>0</v>
      </c>
      <c r="AH168" s="71" t="n">
        <f aca="false">AH12</f>
        <v>0</v>
      </c>
      <c r="AI168" s="71" t="n">
        <f aca="false">AI12</f>
        <v>0</v>
      </c>
      <c r="AJ168" s="71" t="n">
        <f aca="false">AJ12</f>
        <v>0</v>
      </c>
      <c r="AK168" s="71" t="n">
        <f aca="false">AK12</f>
        <v>0</v>
      </c>
      <c r="AL168" s="71" t="n">
        <f aca="false">AL12</f>
        <v>0</v>
      </c>
      <c r="AM168" s="71" t="n">
        <f aca="false">AM12</f>
        <v>0</v>
      </c>
      <c r="AN168" s="71" t="n">
        <f aca="false">AN12</f>
        <v>0</v>
      </c>
      <c r="AO168" s="71" t="n">
        <f aca="false">AO12</f>
        <v>0</v>
      </c>
      <c r="AP168" s="71"/>
      <c r="AQ168" s="52"/>
      <c r="AR168" s="52"/>
    </row>
    <row r="169" customFormat="false" ht="12.75" hidden="false" customHeight="false" outlineLevel="0" collapsed="false">
      <c r="A169" s="72" t="s">
        <v>300</v>
      </c>
      <c r="B169" s="73" t="s">
        <v>413</v>
      </c>
      <c r="C169" s="71" t="n">
        <f aca="false">C13</f>
        <v>40542</v>
      </c>
      <c r="D169" s="71" t="n">
        <f aca="false">D13</f>
        <v>44439</v>
      </c>
      <c r="E169" s="71" t="n">
        <f aca="false">E13</f>
        <v>41453</v>
      </c>
      <c r="F169" s="71" t="n">
        <f aca="false">F13</f>
        <v>57404</v>
      </c>
      <c r="G169" s="71" t="n">
        <f aca="false">G13</f>
        <v>40956</v>
      </c>
      <c r="H169" s="71" t="n">
        <f aca="false">H13</f>
        <v>30453</v>
      </c>
      <c r="I169" s="71" t="n">
        <f aca="false">I13</f>
        <v>36741</v>
      </c>
      <c r="J169" s="71" t="n">
        <f aca="false">J13</f>
        <v>29898</v>
      </c>
      <c r="K169" s="71" t="n">
        <f aca="false">K13</f>
        <v>29869</v>
      </c>
      <c r="L169" s="71" t="n">
        <f aca="false">L13</f>
        <v>28120</v>
      </c>
      <c r="M169" s="71" t="n">
        <f aca="false">M13</f>
        <v>27501</v>
      </c>
      <c r="N169" s="71" t="n">
        <f aca="false">N13</f>
        <v>56488</v>
      </c>
      <c r="O169" s="71" t="n">
        <f aca="false">O13</f>
        <v>57686</v>
      </c>
      <c r="P169" s="71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72" t="s">
        <v>300</v>
      </c>
      <c r="AB169" s="73" t="s">
        <v>413</v>
      </c>
      <c r="AC169" s="71" t="n">
        <f aca="false">AC13</f>
        <v>0</v>
      </c>
      <c r="AD169" s="71" t="n">
        <f aca="false">AD13</f>
        <v>0</v>
      </c>
      <c r="AE169" s="71" t="n">
        <f aca="false">AE13</f>
        <v>0</v>
      </c>
      <c r="AF169" s="71" t="n">
        <f aca="false">AF13</f>
        <v>0</v>
      </c>
      <c r="AG169" s="71" t="n">
        <f aca="false">AG13</f>
        <v>0</v>
      </c>
      <c r="AH169" s="71" t="n">
        <f aca="false">AH13</f>
        <v>0</v>
      </c>
      <c r="AI169" s="71" t="n">
        <f aca="false">AI13</f>
        <v>0</v>
      </c>
      <c r="AJ169" s="71" t="n">
        <f aca="false">AJ13</f>
        <v>0</v>
      </c>
      <c r="AK169" s="71" t="n">
        <f aca="false">AK13</f>
        <v>0</v>
      </c>
      <c r="AL169" s="71" t="n">
        <f aca="false">AL13</f>
        <v>0</v>
      </c>
      <c r="AM169" s="71" t="n">
        <f aca="false">AM13</f>
        <v>0</v>
      </c>
      <c r="AN169" s="71" t="n">
        <f aca="false">AN13</f>
        <v>0</v>
      </c>
      <c r="AO169" s="71" t="n">
        <f aca="false">AO13</f>
        <v>0</v>
      </c>
      <c r="AP169" s="71"/>
      <c r="AQ169" s="52"/>
      <c r="AR169" s="52"/>
    </row>
    <row r="170" customFormat="false" ht="12.75" hidden="false" customHeight="false" outlineLevel="0" collapsed="false">
      <c r="A170" s="72" t="s">
        <v>302</v>
      </c>
      <c r="B170" s="73" t="s">
        <v>414</v>
      </c>
      <c r="C170" s="71" t="n">
        <f aca="false">C14+C15</f>
        <v>323157</v>
      </c>
      <c r="D170" s="71" t="n">
        <f aca="false">D14+D15</f>
        <v>354521</v>
      </c>
      <c r="E170" s="71" t="n">
        <f aca="false">E14+E15</f>
        <v>325427</v>
      </c>
      <c r="F170" s="71" t="n">
        <f aca="false">F14+F15</f>
        <v>333719</v>
      </c>
      <c r="G170" s="71" t="n">
        <f aca="false">G14+G15</f>
        <v>381176</v>
      </c>
      <c r="H170" s="71" t="n">
        <f aca="false">H14+H15</f>
        <v>394521</v>
      </c>
      <c r="I170" s="71" t="n">
        <f aca="false">I14+I15</f>
        <v>392128</v>
      </c>
      <c r="J170" s="71" t="n">
        <f aca="false">J14+J15</f>
        <v>403145</v>
      </c>
      <c r="K170" s="71" t="n">
        <f aca="false">K14+K15</f>
        <v>415159</v>
      </c>
      <c r="L170" s="71" t="n">
        <f aca="false">L14+L15</f>
        <v>409759</v>
      </c>
      <c r="M170" s="71" t="n">
        <f aca="false">M14+M15</f>
        <v>393159</v>
      </c>
      <c r="N170" s="71" t="n">
        <f aca="false">N14+N15</f>
        <v>371159</v>
      </c>
      <c r="O170" s="71" t="n">
        <f aca="false">O14+O15</f>
        <v>356859</v>
      </c>
      <c r="P170" s="71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72" t="s">
        <v>302</v>
      </c>
      <c r="AB170" s="73" t="s">
        <v>414</v>
      </c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52"/>
      <c r="AR170" s="52"/>
    </row>
    <row r="171" customFormat="false" ht="12.75" hidden="false" customHeight="false" outlineLevel="0" collapsed="false">
      <c r="A171" s="72" t="s">
        <v>306</v>
      </c>
      <c r="B171" s="73" t="s">
        <v>415</v>
      </c>
      <c r="C171" s="71" t="n">
        <f aca="false">C17+C18</f>
        <v>5865</v>
      </c>
      <c r="D171" s="71" t="n">
        <f aca="false">D17+D18</f>
        <v>5860</v>
      </c>
      <c r="E171" s="71" t="n">
        <f aca="false">E17+E18</f>
        <v>5857</v>
      </c>
      <c r="F171" s="71" t="n">
        <f aca="false">F17+F18</f>
        <v>4596</v>
      </c>
      <c r="G171" s="71" t="n">
        <f aca="false">G17+G18</f>
        <v>4586</v>
      </c>
      <c r="H171" s="71" t="n">
        <f aca="false">H17+H18</f>
        <v>4389</v>
      </c>
      <c r="I171" s="71" t="n">
        <f aca="false">I17+I18</f>
        <v>4372</v>
      </c>
      <c r="J171" s="71" t="n">
        <f aca="false">J17+J18</f>
        <v>4373</v>
      </c>
      <c r="K171" s="71" t="n">
        <f aca="false">K17+K18</f>
        <v>4373</v>
      </c>
      <c r="L171" s="71" t="n">
        <f aca="false">L17+L18</f>
        <v>4373</v>
      </c>
      <c r="M171" s="71" t="n">
        <f aca="false">M17+M18</f>
        <v>4373</v>
      </c>
      <c r="N171" s="71" t="n">
        <f aca="false">N17+N18</f>
        <v>4373</v>
      </c>
      <c r="O171" s="71" t="n">
        <f aca="false">O17+O18</f>
        <v>4373</v>
      </c>
      <c r="P171" s="71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72" t="s">
        <v>306</v>
      </c>
      <c r="AB171" s="73" t="s">
        <v>415</v>
      </c>
      <c r="AC171" s="71" t="n">
        <f aca="false">AC17+AC18</f>
        <v>0</v>
      </c>
      <c r="AD171" s="71" t="n">
        <f aca="false">AD17+AD18</f>
        <v>0</v>
      </c>
      <c r="AE171" s="71" t="n">
        <f aca="false">AE17+AE18</f>
        <v>0</v>
      </c>
      <c r="AF171" s="71" t="n">
        <f aca="false">AF17+AF18</f>
        <v>0</v>
      </c>
      <c r="AG171" s="71" t="n">
        <f aca="false">AG17+AG18</f>
        <v>0</v>
      </c>
      <c r="AH171" s="71" t="n">
        <f aca="false">AH17+AH18</f>
        <v>0</v>
      </c>
      <c r="AI171" s="71" t="n">
        <f aca="false">AI17+AI18</f>
        <v>0</v>
      </c>
      <c r="AJ171" s="71" t="n">
        <f aca="false">AJ17+AJ18</f>
        <v>0</v>
      </c>
      <c r="AK171" s="71" t="n">
        <f aca="false">AK17+AK18</f>
        <v>0</v>
      </c>
      <c r="AL171" s="71" t="n">
        <f aca="false">AL17+AL18</f>
        <v>0</v>
      </c>
      <c r="AM171" s="71" t="n">
        <f aca="false">AM17+AM18</f>
        <v>0</v>
      </c>
      <c r="AN171" s="71" t="n">
        <f aca="false">AN17+AN18</f>
        <v>0</v>
      </c>
      <c r="AO171" s="71" t="n">
        <f aca="false">AO17+AO18</f>
        <v>0</v>
      </c>
      <c r="AP171" s="71"/>
      <c r="AQ171" s="52"/>
      <c r="AR171" s="52"/>
    </row>
    <row r="172" customFormat="false" ht="12.75" hidden="false" customHeight="false" outlineLevel="0" collapsed="false">
      <c r="A172" s="72" t="s">
        <v>309</v>
      </c>
      <c r="B172" s="73" t="s">
        <v>416</v>
      </c>
      <c r="C172" s="71" t="n">
        <f aca="false">C19+C20+C21+C24</f>
        <v>81166</v>
      </c>
      <c r="D172" s="71" t="n">
        <f aca="false">D19+D20+D21+D24</f>
        <v>82757</v>
      </c>
      <c r="E172" s="71" t="n">
        <f aca="false">E19+E20+E21+E24</f>
        <v>76372</v>
      </c>
      <c r="F172" s="71" t="n">
        <f aca="false">F19+F20+F21+F24</f>
        <v>62335</v>
      </c>
      <c r="G172" s="71" t="n">
        <f aca="false">G19+G20+G21+G24</f>
        <v>58587</v>
      </c>
      <c r="H172" s="71" t="n">
        <f aca="false">H19+H20+H21+H24</f>
        <v>52998</v>
      </c>
      <c r="I172" s="71" t="n">
        <f aca="false">I19+I20+I21+I24</f>
        <v>58226</v>
      </c>
      <c r="J172" s="71" t="n">
        <f aca="false">J19+J20+J21+J24</f>
        <v>42500</v>
      </c>
      <c r="K172" s="71" t="n">
        <f aca="false">K19+K20+K21+K24</f>
        <v>42500</v>
      </c>
      <c r="L172" s="71" t="n">
        <f aca="false">L19+L20+L21+L24</f>
        <v>42500</v>
      </c>
      <c r="M172" s="71" t="n">
        <f aca="false">M19+M20+M21+M24</f>
        <v>42500</v>
      </c>
      <c r="N172" s="71" t="n">
        <f aca="false">N19+N20+N21+N24</f>
        <v>42500</v>
      </c>
      <c r="O172" s="71" t="n">
        <f aca="false">O19+O20+O21+O24</f>
        <v>43580</v>
      </c>
      <c r="P172" s="71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72" t="s">
        <v>309</v>
      </c>
      <c r="AB172" s="73" t="s">
        <v>416</v>
      </c>
      <c r="AC172" s="71" t="n">
        <f aca="false">AC19+AC20+AC21+AC24</f>
        <v>0</v>
      </c>
      <c r="AD172" s="71" t="n">
        <f aca="false">AD19+AD20+AD21+AD24</f>
        <v>0</v>
      </c>
      <c r="AE172" s="71" t="n">
        <f aca="false">AE19+AE20+AE21+AE24</f>
        <v>0</v>
      </c>
      <c r="AF172" s="71" t="n">
        <f aca="false">AF19+AF20+AF21+AF24</f>
        <v>0</v>
      </c>
      <c r="AG172" s="71" t="n">
        <f aca="false">AG19+AG20+AG21+AG24</f>
        <v>0</v>
      </c>
      <c r="AH172" s="71" t="n">
        <f aca="false">AH19+AH20+AH21+AH24</f>
        <v>0</v>
      </c>
      <c r="AI172" s="71" t="n">
        <f aca="false">AI19+AI20+AI21+AI24</f>
        <v>0</v>
      </c>
      <c r="AJ172" s="71" t="n">
        <f aca="false">AJ19+AJ20+AJ21+AJ24</f>
        <v>0</v>
      </c>
      <c r="AK172" s="71" t="n">
        <f aca="false">AK19+AK20+AK21+AK24</f>
        <v>0</v>
      </c>
      <c r="AL172" s="71" t="n">
        <f aca="false">AL19+AL20+AL21+AL24</f>
        <v>0</v>
      </c>
      <c r="AM172" s="71" t="n">
        <f aca="false">AM19+AM20+AM21+AM24</f>
        <v>0</v>
      </c>
      <c r="AN172" s="71" t="n">
        <f aca="false">AN19+AN20+AN21+AN24</f>
        <v>0</v>
      </c>
      <c r="AO172" s="71" t="n">
        <f aca="false">AO19+AO20+AO21+AO24</f>
        <v>0</v>
      </c>
      <c r="AP172" s="71"/>
      <c r="AQ172" s="52"/>
      <c r="AR172" s="52"/>
    </row>
    <row r="173" customFormat="false" ht="12.75" hidden="false" customHeight="false" outlineLevel="0" collapsed="false">
      <c r="A173" s="72" t="s">
        <v>318</v>
      </c>
      <c r="B173" s="73" t="s">
        <v>417</v>
      </c>
      <c r="C173" s="71" t="n">
        <f aca="false">C34</f>
        <v>80795</v>
      </c>
      <c r="D173" s="71" t="n">
        <f aca="false">D34</f>
        <v>87062</v>
      </c>
      <c r="E173" s="71" t="n">
        <f aca="false">E34</f>
        <v>93654</v>
      </c>
      <c r="F173" s="71" t="n">
        <f aca="false">F34</f>
        <v>90490</v>
      </c>
      <c r="G173" s="71" t="n">
        <f aca="false">G34</f>
        <v>93286</v>
      </c>
      <c r="H173" s="71" t="n">
        <f aca="false">H34</f>
        <v>81697</v>
      </c>
      <c r="I173" s="71" t="n">
        <f aca="false">I34</f>
        <v>64629</v>
      </c>
      <c r="J173" s="71" t="n">
        <f aca="false">J34</f>
        <v>63112</v>
      </c>
      <c r="K173" s="71" t="n">
        <f aca="false">K34</f>
        <v>61354</v>
      </c>
      <c r="L173" s="71" t="n">
        <f aca="false">L34</f>
        <v>60850</v>
      </c>
      <c r="M173" s="71" t="n">
        <f aca="false">M34</f>
        <v>61147</v>
      </c>
      <c r="N173" s="71" t="n">
        <f aca="false">N34</f>
        <v>61461</v>
      </c>
      <c r="O173" s="71" t="n">
        <f aca="false">O34</f>
        <v>60649</v>
      </c>
      <c r="P173" s="71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72" t="s">
        <v>318</v>
      </c>
      <c r="AB173" s="73" t="s">
        <v>417</v>
      </c>
      <c r="AC173" s="71" t="n">
        <f aca="false">AC34</f>
        <v>48163</v>
      </c>
      <c r="AD173" s="71" t="n">
        <f aca="false">AD34</f>
        <v>48660</v>
      </c>
      <c r="AE173" s="71" t="n">
        <f aca="false">AE34</f>
        <v>48961</v>
      </c>
      <c r="AF173" s="71" t="n">
        <f aca="false">AF34</f>
        <v>48445</v>
      </c>
      <c r="AG173" s="71" t="n">
        <f aca="false">AG34</f>
        <v>49702</v>
      </c>
      <c r="AH173" s="71" t="n">
        <f aca="false">AH34</f>
        <v>49991</v>
      </c>
      <c r="AI173" s="71" t="n">
        <f aca="false">AI34</f>
        <v>46599</v>
      </c>
      <c r="AJ173" s="71" t="n">
        <f aca="false">AJ34</f>
        <v>46906</v>
      </c>
      <c r="AK173" s="71" t="n">
        <f aca="false">AK34</f>
        <v>45148</v>
      </c>
      <c r="AL173" s="71" t="n">
        <f aca="false">AL34</f>
        <v>44644</v>
      </c>
      <c r="AM173" s="71" t="n">
        <f aca="false">AM34</f>
        <v>44941</v>
      </c>
      <c r="AN173" s="71" t="n">
        <f aca="false">AN34</f>
        <v>45255</v>
      </c>
      <c r="AO173" s="71" t="n">
        <f aca="false">AO34</f>
        <v>44443</v>
      </c>
      <c r="AP173" s="71"/>
      <c r="AQ173" s="52"/>
      <c r="AR173" s="52"/>
    </row>
    <row r="174" customFormat="false" ht="12.75" hidden="false" customHeight="false" outlineLevel="0" collapsed="false">
      <c r="A174" s="72" t="s">
        <v>323</v>
      </c>
      <c r="B174" s="73" t="s">
        <v>418</v>
      </c>
      <c r="C174" s="71" t="n">
        <f aca="false">C40</f>
        <v>1301029</v>
      </c>
      <c r="D174" s="71" t="n">
        <f aca="false">D40</f>
        <v>1343063</v>
      </c>
      <c r="E174" s="71" t="n">
        <f aca="false">E40</f>
        <v>1349490</v>
      </c>
      <c r="F174" s="71" t="n">
        <f aca="false">F40</f>
        <v>1348147</v>
      </c>
      <c r="G174" s="71" t="n">
        <f aca="false">G40</f>
        <v>1339442</v>
      </c>
      <c r="H174" s="71" t="n">
        <f aca="false">H40</f>
        <v>1333049</v>
      </c>
      <c r="I174" s="71" t="n">
        <f aca="false">I40</f>
        <v>1325364</v>
      </c>
      <c r="J174" s="71" t="n">
        <f aca="false">J40</f>
        <v>1324110</v>
      </c>
      <c r="K174" s="71" t="n">
        <f aca="false">K40</f>
        <v>1328806</v>
      </c>
      <c r="L174" s="71" t="n">
        <f aca="false">L40</f>
        <v>1336361</v>
      </c>
      <c r="M174" s="71" t="n">
        <f aca="false">M40</f>
        <v>1340177</v>
      </c>
      <c r="N174" s="71" t="n">
        <f aca="false">N40</f>
        <v>1345241</v>
      </c>
      <c r="O174" s="71" t="n">
        <f aca="false">O40</f>
        <v>1345866</v>
      </c>
      <c r="P174" s="71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72" t="s">
        <v>323</v>
      </c>
      <c r="AB174" s="73" t="s">
        <v>418</v>
      </c>
      <c r="AC174" s="71" t="n">
        <f aca="false">AC40</f>
        <v>0</v>
      </c>
      <c r="AD174" s="71" t="n">
        <f aca="false">AD40</f>
        <v>0</v>
      </c>
      <c r="AE174" s="71" t="n">
        <f aca="false">AE40</f>
        <v>0</v>
      </c>
      <c r="AF174" s="71" t="n">
        <f aca="false">AF40</f>
        <v>0</v>
      </c>
      <c r="AG174" s="71" t="n">
        <f aca="false">AG40</f>
        <v>0</v>
      </c>
      <c r="AH174" s="71" t="n">
        <f aca="false">AH40</f>
        <v>0</v>
      </c>
      <c r="AI174" s="71" t="n">
        <f aca="false">AI40</f>
        <v>0</v>
      </c>
      <c r="AJ174" s="71" t="n">
        <f aca="false">AJ40</f>
        <v>0</v>
      </c>
      <c r="AK174" s="71" t="n">
        <f aca="false">AK40</f>
        <v>0</v>
      </c>
      <c r="AL174" s="71" t="n">
        <f aca="false">AL40</f>
        <v>0</v>
      </c>
      <c r="AM174" s="71" t="n">
        <f aca="false">AM40</f>
        <v>0</v>
      </c>
      <c r="AN174" s="71" t="n">
        <f aca="false">AN40</f>
        <v>0</v>
      </c>
      <c r="AO174" s="71" t="n">
        <f aca="false">AO40</f>
        <v>0</v>
      </c>
      <c r="AP174" s="71"/>
      <c r="AQ174" s="52"/>
      <c r="AR174" s="52"/>
    </row>
    <row r="175" customFormat="false" ht="12.75" hidden="false" customHeight="false" outlineLevel="0" collapsed="false">
      <c r="A175" s="52"/>
      <c r="B175" s="73" t="s">
        <v>419</v>
      </c>
      <c r="C175" s="74" t="n">
        <v>0</v>
      </c>
      <c r="D175" s="74" t="n">
        <v>0</v>
      </c>
      <c r="E175" s="74" t="n">
        <v>0</v>
      </c>
      <c r="F175" s="74" t="n">
        <v>0</v>
      </c>
      <c r="G175" s="74" t="n">
        <v>0</v>
      </c>
      <c r="H175" s="74" t="n">
        <v>0</v>
      </c>
      <c r="I175" s="74" t="n">
        <v>0</v>
      </c>
      <c r="J175" s="74" t="n">
        <v>0</v>
      </c>
      <c r="K175" s="74" t="n">
        <v>0</v>
      </c>
      <c r="L175" s="74" t="n">
        <v>0</v>
      </c>
      <c r="M175" s="74" t="n">
        <v>0</v>
      </c>
      <c r="N175" s="74" t="n">
        <v>0</v>
      </c>
      <c r="O175" s="74" t="n">
        <v>0</v>
      </c>
      <c r="P175" s="71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73" t="s">
        <v>419</v>
      </c>
      <c r="AC175" s="74" t="n">
        <v>0</v>
      </c>
      <c r="AD175" s="74" t="n">
        <v>0</v>
      </c>
      <c r="AE175" s="74" t="n">
        <v>0</v>
      </c>
      <c r="AF175" s="74" t="n">
        <v>0</v>
      </c>
      <c r="AG175" s="74" t="n">
        <v>0</v>
      </c>
      <c r="AH175" s="74" t="n">
        <v>0</v>
      </c>
      <c r="AI175" s="74" t="n">
        <v>0</v>
      </c>
      <c r="AJ175" s="74" t="n">
        <v>0</v>
      </c>
      <c r="AK175" s="74" t="n">
        <v>0</v>
      </c>
      <c r="AL175" s="74" t="n">
        <v>0</v>
      </c>
      <c r="AM175" s="74" t="n">
        <v>0</v>
      </c>
      <c r="AN175" s="74" t="n">
        <v>0</v>
      </c>
      <c r="AO175" s="74" t="n">
        <v>0</v>
      </c>
      <c r="AP175" s="71"/>
      <c r="AQ175" s="52"/>
      <c r="AR175" s="52"/>
    </row>
    <row r="176" customFormat="false" ht="12.75" hidden="false" customHeight="false" outlineLevel="0" collapsed="false">
      <c r="A176" s="72" t="s">
        <v>327</v>
      </c>
      <c r="B176" s="73" t="s">
        <v>420</v>
      </c>
      <c r="C176" s="71" t="n">
        <f aca="false">C45</f>
        <v>205563</v>
      </c>
      <c r="D176" s="71" t="n">
        <f aca="false">D45</f>
        <v>208335</v>
      </c>
      <c r="E176" s="71" t="n">
        <f aca="false">E45</f>
        <v>204840</v>
      </c>
      <c r="F176" s="71" t="n">
        <f aca="false">F45</f>
        <v>204494</v>
      </c>
      <c r="G176" s="71" t="n">
        <f aca="false">G45</f>
        <v>202992</v>
      </c>
      <c r="H176" s="71" t="n">
        <f aca="false">H45</f>
        <v>198687</v>
      </c>
      <c r="I176" s="71" t="n">
        <f aca="false">I45</f>
        <v>195422</v>
      </c>
      <c r="J176" s="71" t="n">
        <f aca="false">J45</f>
        <v>192000</v>
      </c>
      <c r="K176" s="71" t="n">
        <f aca="false">K45</f>
        <v>191659</v>
      </c>
      <c r="L176" s="71" t="n">
        <f aca="false">L45</f>
        <v>191241</v>
      </c>
      <c r="M176" s="71" t="n">
        <f aca="false">M45</f>
        <v>190924</v>
      </c>
      <c r="N176" s="71" t="n">
        <f aca="false">N45</f>
        <v>190006</v>
      </c>
      <c r="O176" s="71" t="n">
        <f aca="false">O45</f>
        <v>199792</v>
      </c>
      <c r="P176" s="71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72" t="s">
        <v>327</v>
      </c>
      <c r="AB176" s="73" t="s">
        <v>420</v>
      </c>
      <c r="AC176" s="71" t="n">
        <f aca="false">AC45</f>
        <v>0</v>
      </c>
      <c r="AD176" s="71" t="n">
        <f aca="false">AD45</f>
        <v>0</v>
      </c>
      <c r="AE176" s="71" t="n">
        <f aca="false">AE45</f>
        <v>0</v>
      </c>
      <c r="AF176" s="71" t="n">
        <f aca="false">AF45</f>
        <v>0</v>
      </c>
      <c r="AG176" s="71" t="n">
        <f aca="false">AG45</f>
        <v>0</v>
      </c>
      <c r="AH176" s="71" t="n">
        <f aca="false">AH45</f>
        <v>0</v>
      </c>
      <c r="AI176" s="71" t="n">
        <f aca="false">AI45</f>
        <v>0</v>
      </c>
      <c r="AJ176" s="71" t="n">
        <f aca="false">AJ45</f>
        <v>0</v>
      </c>
      <c r="AK176" s="71" t="n">
        <f aca="false">AK45</f>
        <v>0</v>
      </c>
      <c r="AL176" s="71" t="n">
        <f aca="false">AL45</f>
        <v>0</v>
      </c>
      <c r="AM176" s="71" t="n">
        <f aca="false">AM45</f>
        <v>0</v>
      </c>
      <c r="AN176" s="71" t="n">
        <f aca="false">AN45</f>
        <v>0</v>
      </c>
      <c r="AO176" s="71" t="n">
        <f aca="false">AO45</f>
        <v>0</v>
      </c>
      <c r="AP176" s="71"/>
      <c r="AQ176" s="52"/>
      <c r="AR176" s="52"/>
    </row>
    <row r="177" customFormat="false" ht="12.75" hidden="false" customHeight="false" outlineLevel="0" collapsed="false">
      <c r="A177" s="72" t="s">
        <v>314</v>
      </c>
      <c r="B177" s="73" t="s">
        <v>421</v>
      </c>
      <c r="C177" s="71" t="n">
        <f aca="false">C23+C44</f>
        <v>0</v>
      </c>
      <c r="D177" s="71" t="n">
        <f aca="false">D23+D44</f>
        <v>0</v>
      </c>
      <c r="E177" s="71" t="n">
        <f aca="false">E23+E44</f>
        <v>0</v>
      </c>
      <c r="F177" s="71" t="n">
        <f aca="false">F23+F44</f>
        <v>0</v>
      </c>
      <c r="G177" s="71" t="n">
        <f aca="false">G23+G44</f>
        <v>0</v>
      </c>
      <c r="H177" s="71" t="n">
        <f aca="false">H23+H44</f>
        <v>0</v>
      </c>
      <c r="I177" s="71" t="n">
        <f aca="false">I23+I44</f>
        <v>0</v>
      </c>
      <c r="J177" s="71" t="n">
        <f aca="false">J23+J44</f>
        <v>0</v>
      </c>
      <c r="K177" s="71" t="n">
        <f aca="false">K23+K44</f>
        <v>0</v>
      </c>
      <c r="L177" s="71" t="n">
        <f aca="false">L23+L44</f>
        <v>0</v>
      </c>
      <c r="M177" s="71" t="n">
        <f aca="false">M23+M44</f>
        <v>0</v>
      </c>
      <c r="N177" s="71" t="n">
        <f aca="false">N23+N44</f>
        <v>0</v>
      </c>
      <c r="O177" s="71" t="n">
        <f aca="false">O23+O44</f>
        <v>0</v>
      </c>
      <c r="P177" s="71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72" t="s">
        <v>314</v>
      </c>
      <c r="AB177" s="73" t="s">
        <v>421</v>
      </c>
      <c r="AC177" s="71" t="n">
        <f aca="false">AC23+AC44</f>
        <v>0</v>
      </c>
      <c r="AD177" s="71" t="n">
        <f aca="false">AD23+AD44</f>
        <v>0</v>
      </c>
      <c r="AE177" s="71" t="n">
        <f aca="false">AE23+AE44</f>
        <v>0</v>
      </c>
      <c r="AF177" s="71" t="n">
        <f aca="false">AF23+AF44</f>
        <v>0</v>
      </c>
      <c r="AG177" s="71" t="n">
        <f aca="false">AG23+AG44</f>
        <v>0</v>
      </c>
      <c r="AH177" s="71" t="n">
        <f aca="false">AH23+AH44</f>
        <v>0</v>
      </c>
      <c r="AI177" s="71" t="n">
        <f aca="false">AI23+AI44</f>
        <v>0</v>
      </c>
      <c r="AJ177" s="71" t="n">
        <f aca="false">AJ23+AJ44</f>
        <v>0</v>
      </c>
      <c r="AK177" s="71" t="n">
        <f aca="false">AK23+AK44</f>
        <v>0</v>
      </c>
      <c r="AL177" s="71" t="n">
        <f aca="false">AL23+AL44</f>
        <v>0</v>
      </c>
      <c r="AM177" s="71" t="n">
        <f aca="false">AM23+AM44</f>
        <v>0</v>
      </c>
      <c r="AN177" s="71" t="n">
        <f aca="false">AN23+AN44</f>
        <v>0</v>
      </c>
      <c r="AO177" s="71" t="n">
        <f aca="false">AO23+AO44</f>
        <v>0</v>
      </c>
      <c r="AP177" s="71"/>
      <c r="AQ177" s="52"/>
      <c r="AR177" s="52"/>
    </row>
    <row r="178" customFormat="false" ht="12.75" hidden="false" customHeight="false" outlineLevel="0" collapsed="false">
      <c r="A178" s="52"/>
      <c r="B178" s="73" t="s">
        <v>422</v>
      </c>
      <c r="C178" s="74" t="n">
        <v>0</v>
      </c>
      <c r="D178" s="74" t="n">
        <v>0</v>
      </c>
      <c r="E178" s="74" t="n">
        <v>0</v>
      </c>
      <c r="F178" s="74" t="n">
        <v>0</v>
      </c>
      <c r="G178" s="74" t="n">
        <v>0</v>
      </c>
      <c r="H178" s="74" t="n">
        <v>0</v>
      </c>
      <c r="I178" s="74" t="n">
        <v>0</v>
      </c>
      <c r="J178" s="74" t="n">
        <v>0</v>
      </c>
      <c r="K178" s="74" t="n">
        <v>0</v>
      </c>
      <c r="L178" s="74" t="n">
        <v>0</v>
      </c>
      <c r="M178" s="74" t="n">
        <v>0</v>
      </c>
      <c r="N178" s="74" t="n">
        <v>0</v>
      </c>
      <c r="O178" s="74" t="n">
        <v>0</v>
      </c>
      <c r="P178" s="71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73" t="s">
        <v>422</v>
      </c>
      <c r="AC178" s="74" t="n">
        <v>0</v>
      </c>
      <c r="AD178" s="74" t="n">
        <v>0</v>
      </c>
      <c r="AE178" s="74" t="n">
        <v>0</v>
      </c>
      <c r="AF178" s="74" t="n">
        <v>0</v>
      </c>
      <c r="AG178" s="74" t="n">
        <v>0</v>
      </c>
      <c r="AH178" s="74" t="n">
        <v>0</v>
      </c>
      <c r="AI178" s="74" t="n">
        <v>0</v>
      </c>
      <c r="AJ178" s="74" t="n">
        <v>0</v>
      </c>
      <c r="AK178" s="74" t="n">
        <v>0</v>
      </c>
      <c r="AL178" s="74" t="n">
        <v>0</v>
      </c>
      <c r="AM178" s="74" t="n">
        <v>0</v>
      </c>
      <c r="AN178" s="74" t="n">
        <v>0</v>
      </c>
      <c r="AO178" s="74" t="n">
        <v>0</v>
      </c>
      <c r="AP178" s="71"/>
      <c r="AQ178" s="52"/>
      <c r="AR178" s="52"/>
    </row>
    <row r="179" customFormat="false" ht="12.75" hidden="false" customHeight="false" outlineLevel="0" collapsed="false">
      <c r="A179" s="72" t="s">
        <v>329</v>
      </c>
      <c r="B179" s="73" t="s">
        <v>423</v>
      </c>
      <c r="C179" s="80" t="n">
        <f aca="false">C47</f>
        <v>9150</v>
      </c>
      <c r="D179" s="80" t="n">
        <f aca="false">D47</f>
        <v>8391</v>
      </c>
      <c r="E179" s="80" t="n">
        <f aca="false">E47</f>
        <v>10015</v>
      </c>
      <c r="F179" s="80" t="n">
        <f aca="false">F47</f>
        <v>9127</v>
      </c>
      <c r="G179" s="80" t="n">
        <f aca="false">G47</f>
        <v>9335</v>
      </c>
      <c r="H179" s="80" t="n">
        <f aca="false">H47</f>
        <v>9572</v>
      </c>
      <c r="I179" s="80" t="n">
        <f aca="false">I47</f>
        <v>10257</v>
      </c>
      <c r="J179" s="80" t="n">
        <f aca="false">J47</f>
        <v>10958</v>
      </c>
      <c r="K179" s="80" t="n">
        <f aca="false">K47</f>
        <v>10960</v>
      </c>
      <c r="L179" s="80" t="n">
        <f aca="false">L47</f>
        <v>10959</v>
      </c>
      <c r="M179" s="80" t="n">
        <f aca="false">M47</f>
        <v>10960</v>
      </c>
      <c r="N179" s="80" t="n">
        <f aca="false">N47</f>
        <v>10889</v>
      </c>
      <c r="O179" s="80" t="n">
        <f aca="false">O47</f>
        <v>10121</v>
      </c>
      <c r="P179" s="80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72" t="s">
        <v>329</v>
      </c>
      <c r="AB179" s="73" t="s">
        <v>423</v>
      </c>
      <c r="AC179" s="80" t="n">
        <f aca="false">AC46+AC47</f>
        <v>0</v>
      </c>
      <c r="AD179" s="80" t="n">
        <f aca="false">AD46+AD47</f>
        <v>0</v>
      </c>
      <c r="AE179" s="80" t="n">
        <f aca="false">AE46+AE47</f>
        <v>0</v>
      </c>
      <c r="AF179" s="80" t="n">
        <f aca="false">AF46+AF47</f>
        <v>0</v>
      </c>
      <c r="AG179" s="80" t="n">
        <f aca="false">AG46+AG47</f>
        <v>0</v>
      </c>
      <c r="AH179" s="80" t="n">
        <f aca="false">AH46+AH47</f>
        <v>0</v>
      </c>
      <c r="AI179" s="80" t="n">
        <f aca="false">AI46+AI47</f>
        <v>0</v>
      </c>
      <c r="AJ179" s="80" t="n">
        <f aca="false">AJ46+AJ47</f>
        <v>0</v>
      </c>
      <c r="AK179" s="80" t="n">
        <f aca="false">AK46+AK47</f>
        <v>0</v>
      </c>
      <c r="AL179" s="80" t="n">
        <f aca="false">AL46+AL47</f>
        <v>0</v>
      </c>
      <c r="AM179" s="80" t="n">
        <f aca="false">AM46+AM47</f>
        <v>0</v>
      </c>
      <c r="AN179" s="80" t="n">
        <f aca="false">AN46+AN47</f>
        <v>0</v>
      </c>
      <c r="AO179" s="80" t="n">
        <f aca="false">AO46+AO47</f>
        <v>0</v>
      </c>
      <c r="AP179" s="80"/>
      <c r="AQ179" s="52"/>
      <c r="AR179" s="52"/>
    </row>
    <row r="180" customFormat="false" ht="3.9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</row>
    <row r="181" customFormat="false" ht="12.75" hidden="false" customHeight="false" outlineLevel="0" collapsed="false">
      <c r="A181" s="49"/>
      <c r="B181" s="70" t="s">
        <v>424</v>
      </c>
      <c r="C181" s="85" t="n">
        <f aca="false">SUM(C168:C180)</f>
        <v>2047320</v>
      </c>
      <c r="D181" s="85" t="n">
        <f aca="false">SUM(D168:D180)</f>
        <v>2134481</v>
      </c>
      <c r="E181" s="85" t="n">
        <f aca="false">SUM(E168:E180)</f>
        <v>2107161</v>
      </c>
      <c r="F181" s="85" t="n">
        <f aca="false">SUM(F168:F180)</f>
        <v>2110365</v>
      </c>
      <c r="G181" s="85" t="n">
        <f aca="false">SUM(G168:G180)</f>
        <v>2130413</v>
      </c>
      <c r="H181" s="85" t="n">
        <f aca="false">SUM(H168:H180)</f>
        <v>2105419</v>
      </c>
      <c r="I181" s="85" t="n">
        <f aca="false">SUM(I168:I180)</f>
        <v>2087192</v>
      </c>
      <c r="J181" s="85" t="n">
        <f aca="false">SUM(J168:J180)</f>
        <v>2070149</v>
      </c>
      <c r="K181" s="85" t="n">
        <f aca="false">SUM(K168:K180)</f>
        <v>2084733</v>
      </c>
      <c r="L181" s="85" t="n">
        <f aca="false">SUM(L168:L180)</f>
        <v>2084216</v>
      </c>
      <c r="M181" s="85" t="n">
        <f aca="false">SUM(M168:M180)</f>
        <v>2070794</v>
      </c>
      <c r="N181" s="85" t="n">
        <f aca="false">SUM(N168:N180)</f>
        <v>2082170</v>
      </c>
      <c r="O181" s="85" t="n">
        <f aca="false">SUM(O168:O180)</f>
        <v>2078979</v>
      </c>
      <c r="P181" s="80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49"/>
      <c r="AB181" s="70" t="s">
        <v>424</v>
      </c>
      <c r="AC181" s="85" t="n">
        <f aca="false">SUM(AC168:AC180)</f>
        <v>48163</v>
      </c>
      <c r="AD181" s="85" t="n">
        <f aca="false">SUM(AD168:AD180)</f>
        <v>48660</v>
      </c>
      <c r="AE181" s="85" t="n">
        <f aca="false">SUM(AE168:AE180)</f>
        <v>48961</v>
      </c>
      <c r="AF181" s="85" t="n">
        <f aca="false">SUM(AF168:AF180)</f>
        <v>48445</v>
      </c>
      <c r="AG181" s="85" t="n">
        <f aca="false">SUM(AG168:AG180)</f>
        <v>49702</v>
      </c>
      <c r="AH181" s="85" t="n">
        <f aca="false">SUM(AH168:AH180)</f>
        <v>49991</v>
      </c>
      <c r="AI181" s="85" t="n">
        <f aca="false">SUM(AI168:AI180)</f>
        <v>46599</v>
      </c>
      <c r="AJ181" s="85" t="n">
        <f aca="false">SUM(AJ168:AJ180)</f>
        <v>46906</v>
      </c>
      <c r="AK181" s="85" t="n">
        <f aca="false">SUM(AK168:AK180)</f>
        <v>45148</v>
      </c>
      <c r="AL181" s="85" t="n">
        <f aca="false">SUM(AL168:AL180)</f>
        <v>44644</v>
      </c>
      <c r="AM181" s="85" t="n">
        <f aca="false">SUM(AM168:AM180)</f>
        <v>44941</v>
      </c>
      <c r="AN181" s="85" t="n">
        <f aca="false">SUM(AN168:AN180)</f>
        <v>45255</v>
      </c>
      <c r="AO181" s="85" t="n">
        <f aca="false">SUM(AO168:AO180)</f>
        <v>44443</v>
      </c>
      <c r="AP181" s="80"/>
      <c r="AQ181" s="52"/>
      <c r="AR181" s="52"/>
    </row>
    <row r="182" customFormat="false" ht="12.75" hidden="false" customHeight="fals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</row>
    <row r="183" customFormat="false" ht="12.75" hidden="false" customHeight="false" outlineLevel="0" collapsed="false">
      <c r="A183" s="49"/>
      <c r="B183" s="49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49"/>
      <c r="AB183" s="49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</row>
    <row r="184" customFormat="false" ht="12.75" hidden="false" customHeight="false" outlineLevel="0" collapsed="false">
      <c r="A184" s="49"/>
      <c r="B184" s="70" t="s">
        <v>425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49"/>
      <c r="AB184" s="70" t="s">
        <v>425</v>
      </c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52"/>
      <c r="AQ184" s="52"/>
      <c r="AR184" s="52"/>
    </row>
    <row r="185" customFormat="false" ht="12.75" hidden="false" customHeight="false" outlineLevel="0" collapsed="false">
      <c r="A185" s="72" t="s">
        <v>334</v>
      </c>
      <c r="B185" s="73" t="s">
        <v>426</v>
      </c>
      <c r="C185" s="71" t="n">
        <f aca="false">C59+C60</f>
        <v>31722</v>
      </c>
      <c r="D185" s="71" t="n">
        <f aca="false">D59+D60</f>
        <v>52229</v>
      </c>
      <c r="E185" s="71" t="n">
        <f aca="false">E59+E60</f>
        <v>12858</v>
      </c>
      <c r="F185" s="71" t="n">
        <f aca="false">F59+F60</f>
        <v>24601</v>
      </c>
      <c r="G185" s="71" t="n">
        <f aca="false">G59+G60</f>
        <v>10969</v>
      </c>
      <c r="H185" s="71" t="n">
        <f aca="false">H59+H60</f>
        <v>10668</v>
      </c>
      <c r="I185" s="71" t="n">
        <f aca="false">I59+I60</f>
        <v>12070</v>
      </c>
      <c r="J185" s="71" t="n">
        <f aca="false">J59+J60</f>
        <v>13366</v>
      </c>
      <c r="K185" s="71" t="n">
        <f aca="false">K59+K60</f>
        <v>17125</v>
      </c>
      <c r="L185" s="71" t="n">
        <f aca="false">L59+L60</f>
        <v>19075</v>
      </c>
      <c r="M185" s="71" t="n">
        <f aca="false">M59+M60</f>
        <v>15080</v>
      </c>
      <c r="N185" s="71" t="n">
        <f aca="false">N59+N60</f>
        <v>9139</v>
      </c>
      <c r="O185" s="71" t="n">
        <f aca="false">O59+O60</f>
        <v>8008</v>
      </c>
      <c r="P185" s="71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72" t="s">
        <v>334</v>
      </c>
      <c r="AB185" s="73" t="s">
        <v>426</v>
      </c>
      <c r="AC185" s="71" t="e">
        <f aca="false">AC59+#REF!+AC60</f>
        <v>#REF!</v>
      </c>
      <c r="AD185" s="71" t="e">
        <f aca="false">AD59+#REF!+AD60</f>
        <v>#REF!</v>
      </c>
      <c r="AE185" s="71" t="e">
        <f aca="false">AE59+#REF!+AE60</f>
        <v>#REF!</v>
      </c>
      <c r="AF185" s="71" t="e">
        <f aca="false">AF59+#REF!+AF60</f>
        <v>#REF!</v>
      </c>
      <c r="AG185" s="71" t="e">
        <f aca="false">AG59+#REF!+AG60</f>
        <v>#REF!</v>
      </c>
      <c r="AH185" s="71" t="e">
        <f aca="false">AH59+#REF!+AH60</f>
        <v>#REF!</v>
      </c>
      <c r="AI185" s="71" t="e">
        <f aca="false">AI59+#REF!+AI60</f>
        <v>#REF!</v>
      </c>
      <c r="AJ185" s="71" t="e">
        <f aca="false">AJ59+#REF!+AJ60</f>
        <v>#REF!</v>
      </c>
      <c r="AK185" s="71" t="e">
        <f aca="false">AK59+#REF!+AK60</f>
        <v>#REF!</v>
      </c>
      <c r="AL185" s="71" t="e">
        <f aca="false">AL59+#REF!+AL60</f>
        <v>#REF!</v>
      </c>
      <c r="AM185" s="71" t="e">
        <f aca="false">AM59+#REF!+AM60</f>
        <v>#REF!</v>
      </c>
      <c r="AN185" s="71" t="e">
        <f aca="false">AN59+#REF!+AN60</f>
        <v>#REF!</v>
      </c>
      <c r="AO185" s="71" t="e">
        <f aca="false">AO59+#REF!+AO60</f>
        <v>#REF!</v>
      </c>
      <c r="AP185" s="71"/>
      <c r="AQ185" s="52"/>
      <c r="AR185" s="52"/>
    </row>
    <row r="186" customFormat="false" ht="12.75" hidden="false" customHeight="false" outlineLevel="0" collapsed="false">
      <c r="A186" s="72" t="s">
        <v>337</v>
      </c>
      <c r="B186" s="73" t="s">
        <v>427</v>
      </c>
      <c r="C186" s="71" t="n">
        <f aca="false">C62+C63+C65</f>
        <v>100839</v>
      </c>
      <c r="D186" s="71" t="n">
        <f aca="false">D62+D63+D65</f>
        <v>135163</v>
      </c>
      <c r="E186" s="71" t="n">
        <f aca="false">E62+E63+E65</f>
        <v>127679</v>
      </c>
      <c r="F186" s="71" t="n">
        <f aca="false">F62+F63+F65</f>
        <v>109194</v>
      </c>
      <c r="G186" s="71" t="n">
        <f aca="false">G62+G63+G65</f>
        <v>116224</v>
      </c>
      <c r="H186" s="71" t="n">
        <f aca="false">H62+H63+H65</f>
        <v>103067</v>
      </c>
      <c r="I186" s="71" t="n">
        <f aca="false">I62+I63+I65</f>
        <v>96399</v>
      </c>
      <c r="J186" s="71" t="n">
        <f aca="false">J62+J63+J65</f>
        <v>79900</v>
      </c>
      <c r="K186" s="71" t="n">
        <f aca="false">K62+K63+K65</f>
        <v>84556</v>
      </c>
      <c r="L186" s="71" t="n">
        <f aca="false">L62+L63+L65</f>
        <v>81811</v>
      </c>
      <c r="M186" s="71" t="n">
        <f aca="false">M62+M63+M65</f>
        <v>84920</v>
      </c>
      <c r="N186" s="71" t="n">
        <f aca="false">N62+N63+N65</f>
        <v>86241</v>
      </c>
      <c r="O186" s="71" t="n">
        <f aca="false">O62+O63+O65</f>
        <v>77537</v>
      </c>
      <c r="P186" s="71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72" t="s">
        <v>337</v>
      </c>
      <c r="AB186" s="73" t="s">
        <v>427</v>
      </c>
      <c r="AC186" s="71" t="n">
        <f aca="false">AC62+AC63+AC65</f>
        <v>672</v>
      </c>
      <c r="AD186" s="71" t="n">
        <f aca="false">AD62+AD63+AD65</f>
        <v>672</v>
      </c>
      <c r="AE186" s="71" t="n">
        <f aca="false">AE62+AE63+AE65</f>
        <v>672</v>
      </c>
      <c r="AF186" s="71" t="n">
        <f aca="false">AF62+AF63+AF65</f>
        <v>672</v>
      </c>
      <c r="AG186" s="71" t="n">
        <f aca="false">AG62+AG63+AG65</f>
        <v>672</v>
      </c>
      <c r="AH186" s="71" t="n">
        <f aca="false">AH62+AH63+AH65</f>
        <v>672</v>
      </c>
      <c r="AI186" s="71" t="n">
        <f aca="false">AI62+AI63+AI65</f>
        <v>672</v>
      </c>
      <c r="AJ186" s="71" t="n">
        <f aca="false">AJ62+AJ63+AJ65</f>
        <v>672</v>
      </c>
      <c r="AK186" s="71" t="n">
        <f aca="false">AK62+AK63+AK65</f>
        <v>672</v>
      </c>
      <c r="AL186" s="71" t="n">
        <f aca="false">AL62+AL63+AL65</f>
        <v>672</v>
      </c>
      <c r="AM186" s="71" t="n">
        <f aca="false">AM62+AM63+AM65</f>
        <v>672</v>
      </c>
      <c r="AN186" s="71" t="n">
        <f aca="false">AN62+AN63+AN65</f>
        <v>672</v>
      </c>
      <c r="AO186" s="71" t="n">
        <f aca="false">AO62+AO63+AO65</f>
        <v>672</v>
      </c>
      <c r="AP186" s="71"/>
      <c r="AQ186" s="52"/>
      <c r="AR186" s="52"/>
    </row>
    <row r="187" customFormat="false" ht="12.75" hidden="false" customHeight="false" outlineLevel="0" collapsed="false">
      <c r="A187" s="52"/>
      <c r="B187" s="73" t="s">
        <v>428</v>
      </c>
      <c r="C187" s="74" t="n">
        <v>0</v>
      </c>
      <c r="D187" s="74" t="n">
        <v>0</v>
      </c>
      <c r="E187" s="74" t="n">
        <v>0</v>
      </c>
      <c r="F187" s="74" t="n">
        <v>0</v>
      </c>
      <c r="G187" s="74" t="n">
        <v>0</v>
      </c>
      <c r="H187" s="74" t="n">
        <v>0</v>
      </c>
      <c r="I187" s="74" t="n">
        <v>0</v>
      </c>
      <c r="J187" s="74" t="n">
        <v>0</v>
      </c>
      <c r="K187" s="74" t="n">
        <v>0</v>
      </c>
      <c r="L187" s="74" t="n">
        <v>0</v>
      </c>
      <c r="M187" s="74" t="n">
        <v>0</v>
      </c>
      <c r="N187" s="74" t="n">
        <v>0</v>
      </c>
      <c r="O187" s="74" t="n">
        <v>0</v>
      </c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73" t="s">
        <v>428</v>
      </c>
      <c r="AC187" s="74" t="n">
        <v>0</v>
      </c>
      <c r="AD187" s="74" t="n">
        <v>0</v>
      </c>
      <c r="AE187" s="74" t="n">
        <v>0</v>
      </c>
      <c r="AF187" s="74" t="n">
        <v>0</v>
      </c>
      <c r="AG187" s="74" t="n">
        <v>0</v>
      </c>
      <c r="AH187" s="74" t="n">
        <v>0</v>
      </c>
      <c r="AI187" s="74" t="n">
        <v>0</v>
      </c>
      <c r="AJ187" s="74" t="n">
        <v>0</v>
      </c>
      <c r="AK187" s="74" t="n">
        <v>0</v>
      </c>
      <c r="AL187" s="74" t="n">
        <v>0</v>
      </c>
      <c r="AM187" s="74" t="n">
        <v>0</v>
      </c>
      <c r="AN187" s="74" t="n">
        <v>0</v>
      </c>
      <c r="AO187" s="74" t="n">
        <v>0</v>
      </c>
      <c r="AP187" s="52"/>
      <c r="AQ187" s="52"/>
      <c r="AR187" s="52"/>
    </row>
    <row r="188" customFormat="false" ht="12.75" hidden="false" customHeight="false" outlineLevel="0" collapsed="false">
      <c r="A188" s="72" t="s">
        <v>341</v>
      </c>
      <c r="B188" s="73" t="s">
        <v>429</v>
      </c>
      <c r="C188" s="71" t="n">
        <f aca="false">C64</f>
        <v>2374</v>
      </c>
      <c r="D188" s="71" t="n">
        <f aca="false">D64</f>
        <v>2474</v>
      </c>
      <c r="E188" s="71" t="n">
        <f aca="false">E64</f>
        <v>2476</v>
      </c>
      <c r="F188" s="71" t="n">
        <f aca="false">F64</f>
        <v>2476</v>
      </c>
      <c r="G188" s="71" t="n">
        <f aca="false">G64</f>
        <v>2477</v>
      </c>
      <c r="H188" s="71" t="n">
        <f aca="false">H64</f>
        <v>2478</v>
      </c>
      <c r="I188" s="71" t="n">
        <f aca="false">I64</f>
        <v>2478</v>
      </c>
      <c r="J188" s="71" t="n">
        <f aca="false">J64</f>
        <v>2479</v>
      </c>
      <c r="K188" s="71" t="n">
        <f aca="false">K64</f>
        <v>2479</v>
      </c>
      <c r="L188" s="71" t="n">
        <f aca="false">L64</f>
        <v>2479</v>
      </c>
      <c r="M188" s="71" t="n">
        <f aca="false">M64</f>
        <v>2479</v>
      </c>
      <c r="N188" s="71" t="n">
        <f aca="false">N64</f>
        <v>2479</v>
      </c>
      <c r="O188" s="71" t="n">
        <f aca="false">O64</f>
        <v>2479</v>
      </c>
      <c r="P188" s="71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72" t="s">
        <v>341</v>
      </c>
      <c r="AB188" s="73" t="s">
        <v>429</v>
      </c>
      <c r="AC188" s="71" t="n">
        <f aca="false">AC64</f>
        <v>0</v>
      </c>
      <c r="AD188" s="71" t="n">
        <f aca="false">AD64</f>
        <v>0</v>
      </c>
      <c r="AE188" s="71" t="n">
        <f aca="false">AE64</f>
        <v>0</v>
      </c>
      <c r="AF188" s="71" t="n">
        <f aca="false">AF64</f>
        <v>0</v>
      </c>
      <c r="AG188" s="71" t="n">
        <f aca="false">AG64</f>
        <v>0</v>
      </c>
      <c r="AH188" s="71" t="n">
        <f aca="false">AH64</f>
        <v>0</v>
      </c>
      <c r="AI188" s="71" t="n">
        <f aca="false">AI64</f>
        <v>0</v>
      </c>
      <c r="AJ188" s="71" t="n">
        <f aca="false">AJ64</f>
        <v>0</v>
      </c>
      <c r="AK188" s="71" t="n">
        <f aca="false">AK64</f>
        <v>0</v>
      </c>
      <c r="AL188" s="71" t="n">
        <f aca="false">AL64</f>
        <v>0</v>
      </c>
      <c r="AM188" s="71" t="n">
        <f aca="false">AM64</f>
        <v>0</v>
      </c>
      <c r="AN188" s="71" t="n">
        <f aca="false">AN64</f>
        <v>0</v>
      </c>
      <c r="AO188" s="71" t="n">
        <f aca="false">AO64</f>
        <v>0</v>
      </c>
      <c r="AP188" s="71"/>
      <c r="AQ188" s="52"/>
      <c r="AR188" s="52"/>
    </row>
    <row r="189" customFormat="false" ht="12.75" hidden="false" customHeight="false" outlineLevel="0" collapsed="false">
      <c r="A189" s="72" t="s">
        <v>349</v>
      </c>
      <c r="B189" s="73" t="s">
        <v>430</v>
      </c>
      <c r="C189" s="71" t="n">
        <f aca="false">C72</f>
        <v>289220</v>
      </c>
      <c r="D189" s="71" t="n">
        <f aca="false">D72</f>
        <v>292382</v>
      </c>
      <c r="E189" s="71" t="n">
        <f aca="false">E72</f>
        <v>292531</v>
      </c>
      <c r="F189" s="71" t="n">
        <f aca="false">F72</f>
        <v>291319</v>
      </c>
      <c r="G189" s="71" t="n">
        <f aca="false">G72</f>
        <v>314660</v>
      </c>
      <c r="H189" s="71" t="n">
        <f aca="false">H72</f>
        <v>316234</v>
      </c>
      <c r="I189" s="71" t="n">
        <f aca="false">I72</f>
        <v>313249</v>
      </c>
      <c r="J189" s="71" t="n">
        <f aca="false">J72</f>
        <v>314108</v>
      </c>
      <c r="K189" s="71" t="n">
        <f aca="false">K72</f>
        <v>317447</v>
      </c>
      <c r="L189" s="71" t="n">
        <f aca="false">L72</f>
        <v>319654</v>
      </c>
      <c r="M189" s="71" t="n">
        <f aca="false">M72</f>
        <v>307840</v>
      </c>
      <c r="N189" s="71" t="n">
        <f aca="false">N72</f>
        <v>306519</v>
      </c>
      <c r="O189" s="71" t="n">
        <f aca="false">O72</f>
        <v>307178</v>
      </c>
      <c r="P189" s="71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72" t="s">
        <v>349</v>
      </c>
      <c r="AB189" s="73" t="s">
        <v>430</v>
      </c>
      <c r="AC189" s="71" t="n">
        <f aca="false">AC72</f>
        <v>6287</v>
      </c>
      <c r="AD189" s="71" t="n">
        <f aca="false">AD72</f>
        <v>6203</v>
      </c>
      <c r="AE189" s="71" t="n">
        <f aca="false">AE72</f>
        <v>6118</v>
      </c>
      <c r="AF189" s="71" t="n">
        <f aca="false">AF72</f>
        <v>5970</v>
      </c>
      <c r="AG189" s="71" t="n">
        <f aca="false">AG72</f>
        <v>5885</v>
      </c>
      <c r="AH189" s="71" t="n">
        <f aca="false">AH72</f>
        <v>5801</v>
      </c>
      <c r="AI189" s="71" t="n">
        <f aca="false">AI72</f>
        <v>5716</v>
      </c>
      <c r="AJ189" s="71" t="n">
        <f aca="false">AJ72</f>
        <v>5632</v>
      </c>
      <c r="AK189" s="71" t="n">
        <f aca="false">AK72</f>
        <v>5547</v>
      </c>
      <c r="AL189" s="71" t="n">
        <f aca="false">AL72</f>
        <v>5463</v>
      </c>
      <c r="AM189" s="71" t="n">
        <f aca="false">AM72</f>
        <v>5335</v>
      </c>
      <c r="AN189" s="71" t="n">
        <f aca="false">AN72</f>
        <v>5200</v>
      </c>
      <c r="AO189" s="71" t="n">
        <f aca="false">AO72</f>
        <v>5194</v>
      </c>
      <c r="AP189" s="71"/>
      <c r="AQ189" s="52"/>
      <c r="AR189" s="52"/>
    </row>
    <row r="190" customFormat="false" ht="12.75" hidden="false" customHeight="false" outlineLevel="0" collapsed="false">
      <c r="A190" s="52"/>
      <c r="B190" s="73" t="s">
        <v>431</v>
      </c>
      <c r="C190" s="74" t="n">
        <v>0</v>
      </c>
      <c r="D190" s="74" t="n">
        <v>0</v>
      </c>
      <c r="E190" s="74" t="n">
        <v>0</v>
      </c>
      <c r="F190" s="74" t="n">
        <v>0</v>
      </c>
      <c r="G190" s="74" t="n">
        <v>0</v>
      </c>
      <c r="H190" s="74" t="n">
        <v>0</v>
      </c>
      <c r="I190" s="74" t="n">
        <v>0</v>
      </c>
      <c r="J190" s="74" t="n">
        <v>0</v>
      </c>
      <c r="K190" s="74" t="n">
        <v>0</v>
      </c>
      <c r="L190" s="74" t="n">
        <v>0</v>
      </c>
      <c r="M190" s="74" t="n">
        <v>0</v>
      </c>
      <c r="N190" s="74" t="n">
        <v>0</v>
      </c>
      <c r="O190" s="74" t="n">
        <v>0</v>
      </c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73" t="s">
        <v>431</v>
      </c>
      <c r="AC190" s="74" t="n">
        <v>0</v>
      </c>
      <c r="AD190" s="74" t="n">
        <v>0</v>
      </c>
      <c r="AE190" s="74" t="n">
        <v>0</v>
      </c>
      <c r="AF190" s="74" t="n">
        <v>0</v>
      </c>
      <c r="AG190" s="74" t="n">
        <v>0</v>
      </c>
      <c r="AH190" s="74" t="n">
        <v>0</v>
      </c>
      <c r="AI190" s="74" t="n">
        <v>0</v>
      </c>
      <c r="AJ190" s="74" t="n">
        <v>0</v>
      </c>
      <c r="AK190" s="74" t="n">
        <v>0</v>
      </c>
      <c r="AL190" s="74" t="n">
        <v>0</v>
      </c>
      <c r="AM190" s="74" t="n">
        <v>0</v>
      </c>
      <c r="AN190" s="74" t="n">
        <v>0</v>
      </c>
      <c r="AO190" s="74" t="n">
        <v>0</v>
      </c>
      <c r="AP190" s="52"/>
      <c r="AQ190" s="52"/>
      <c r="AR190" s="52"/>
    </row>
    <row r="191" customFormat="false" ht="12.75" hidden="false" customHeight="false" outlineLevel="0" collapsed="false">
      <c r="A191" s="72" t="s">
        <v>432</v>
      </c>
      <c r="B191" s="73" t="s">
        <v>433</v>
      </c>
      <c r="C191" s="71" t="e">
        <f aca="false">#REF!+C73</f>
        <v>#REF!</v>
      </c>
      <c r="D191" s="71" t="e">
        <f aca="false">#REF!+D73</f>
        <v>#REF!</v>
      </c>
      <c r="E191" s="71" t="e">
        <f aca="false">#REF!+E73</f>
        <v>#REF!</v>
      </c>
      <c r="F191" s="71" t="e">
        <f aca="false">#REF!+F73</f>
        <v>#REF!</v>
      </c>
      <c r="G191" s="71" t="e">
        <f aca="false">#REF!+G73</f>
        <v>#REF!</v>
      </c>
      <c r="H191" s="71" t="e">
        <f aca="false">#REF!+H73</f>
        <v>#REF!</v>
      </c>
      <c r="I191" s="71" t="e">
        <f aca="false">#REF!+I73</f>
        <v>#REF!</v>
      </c>
      <c r="J191" s="71" t="e">
        <f aca="false">#REF!+J73</f>
        <v>#REF!</v>
      </c>
      <c r="K191" s="71" t="e">
        <f aca="false">#REF!+K73</f>
        <v>#REF!</v>
      </c>
      <c r="L191" s="71" t="e">
        <f aca="false">#REF!+L73</f>
        <v>#REF!</v>
      </c>
      <c r="M191" s="71" t="e">
        <f aca="false">#REF!+M73</f>
        <v>#REF!</v>
      </c>
      <c r="N191" s="71" t="e">
        <f aca="false">#REF!+N73</f>
        <v>#REF!</v>
      </c>
      <c r="O191" s="71" t="e">
        <f aca="false">#REF!+O73</f>
        <v>#REF!</v>
      </c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72" t="s">
        <v>432</v>
      </c>
      <c r="AB191" s="73" t="s">
        <v>434</v>
      </c>
      <c r="AC191" s="71" t="e">
        <f aca="false">#REF!+AC73</f>
        <v>#REF!</v>
      </c>
      <c r="AD191" s="71" t="e">
        <f aca="false">#REF!+AD73</f>
        <v>#REF!</v>
      </c>
      <c r="AE191" s="71" t="e">
        <f aca="false">#REF!+AE73</f>
        <v>#REF!</v>
      </c>
      <c r="AF191" s="71" t="e">
        <f aca="false">#REF!+AF73</f>
        <v>#REF!</v>
      </c>
      <c r="AG191" s="71" t="e">
        <f aca="false">#REF!+AG73</f>
        <v>#REF!</v>
      </c>
      <c r="AH191" s="71" t="e">
        <f aca="false">#REF!+AH73</f>
        <v>#REF!</v>
      </c>
      <c r="AI191" s="71" t="e">
        <f aca="false">#REF!+AI73</f>
        <v>#REF!</v>
      </c>
      <c r="AJ191" s="71" t="e">
        <f aca="false">#REF!+AJ73</f>
        <v>#REF!</v>
      </c>
      <c r="AK191" s="71" t="e">
        <f aca="false">#REF!+AK73</f>
        <v>#REF!</v>
      </c>
      <c r="AL191" s="71" t="e">
        <f aca="false">#REF!+AL73</f>
        <v>#REF!</v>
      </c>
      <c r="AM191" s="71" t="e">
        <f aca="false">#REF!+AM73</f>
        <v>#REF!</v>
      </c>
      <c r="AN191" s="71" t="e">
        <f aca="false">#REF!+AN73</f>
        <v>#REF!</v>
      </c>
      <c r="AO191" s="71" t="e">
        <f aca="false">#REF!+AO73</f>
        <v>#REF!</v>
      </c>
      <c r="AP191" s="52"/>
      <c r="AQ191" s="52"/>
      <c r="AR191" s="52"/>
    </row>
    <row r="192" customFormat="false" ht="12.75" hidden="false" customHeight="false" outlineLevel="0" collapsed="false">
      <c r="A192" s="72" t="s">
        <v>344</v>
      </c>
      <c r="B192" s="73" t="s">
        <v>435</v>
      </c>
      <c r="C192" s="71" t="n">
        <f aca="false">C74+C66</f>
        <v>25015</v>
      </c>
      <c r="D192" s="71" t="n">
        <f aca="false">D74+D66</f>
        <v>36941</v>
      </c>
      <c r="E192" s="71" t="n">
        <f aca="false">E74+E66</f>
        <v>34669</v>
      </c>
      <c r="F192" s="71" t="n">
        <f aca="false">F74+F66</f>
        <v>31389</v>
      </c>
      <c r="G192" s="71" t="n">
        <f aca="false">G74+G66</f>
        <v>32076</v>
      </c>
      <c r="H192" s="71" t="n">
        <f aca="false">H74+H66</f>
        <v>16683</v>
      </c>
      <c r="I192" s="71" t="n">
        <f aca="false">I74+I66</f>
        <v>6665</v>
      </c>
      <c r="J192" s="71" t="n">
        <f aca="false">J74+J66</f>
        <v>5797</v>
      </c>
      <c r="K192" s="71" t="n">
        <f aca="false">K74+K66</f>
        <v>5725</v>
      </c>
      <c r="L192" s="71" t="n">
        <f aca="false">L74+L66</f>
        <v>5726</v>
      </c>
      <c r="M192" s="71" t="n">
        <f aca="false">M74+M66</f>
        <v>5727</v>
      </c>
      <c r="N192" s="71" t="n">
        <f aca="false">N74+N66</f>
        <v>6317</v>
      </c>
      <c r="O192" s="71" t="n">
        <f aca="false">O74+O66</f>
        <v>6911</v>
      </c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72" t="s">
        <v>344</v>
      </c>
      <c r="AB192" s="73" t="s">
        <v>435</v>
      </c>
      <c r="AC192" s="71" t="n">
        <f aca="false">AC74+AC66</f>
        <v>0</v>
      </c>
      <c r="AD192" s="71" t="n">
        <f aca="false">AD74+AD66</f>
        <v>0</v>
      </c>
      <c r="AE192" s="71" t="n">
        <f aca="false">AE74+AE66</f>
        <v>0</v>
      </c>
      <c r="AF192" s="71" t="n">
        <f aca="false">AF74+AF66</f>
        <v>0</v>
      </c>
      <c r="AG192" s="71" t="n">
        <f aca="false">AG74+AG66</f>
        <v>0</v>
      </c>
      <c r="AH192" s="71" t="n">
        <f aca="false">AH74+AH66</f>
        <v>0</v>
      </c>
      <c r="AI192" s="71" t="n">
        <f aca="false">AI74+AI66</f>
        <v>0</v>
      </c>
      <c r="AJ192" s="71" t="n">
        <f aca="false">AJ74+AJ66</f>
        <v>0</v>
      </c>
      <c r="AK192" s="71" t="n">
        <f aca="false">AK74+AK66</f>
        <v>0</v>
      </c>
      <c r="AL192" s="71" t="n">
        <f aca="false">AL74+AL66</f>
        <v>0</v>
      </c>
      <c r="AM192" s="71" t="n">
        <f aca="false">AM74+AM66</f>
        <v>0</v>
      </c>
      <c r="AN192" s="71" t="n">
        <f aca="false">AN74+AN66</f>
        <v>0</v>
      </c>
      <c r="AO192" s="71" t="n">
        <f aca="false">AO74+AO66</f>
        <v>0</v>
      </c>
      <c r="AP192" s="52"/>
      <c r="AQ192" s="52"/>
      <c r="AR192" s="52"/>
    </row>
    <row r="193" customFormat="false" ht="12.75" hidden="false" customHeight="false" outlineLevel="0" collapsed="false">
      <c r="A193" s="72" t="s">
        <v>351</v>
      </c>
      <c r="B193" s="73" t="s">
        <v>436</v>
      </c>
      <c r="C193" s="71" t="e">
        <f aca="false">#REF!</f>
        <v>#REF!</v>
      </c>
      <c r="D193" s="71" t="e">
        <f aca="false">#REF!</f>
        <v>#REF!</v>
      </c>
      <c r="E193" s="71" t="e">
        <f aca="false">#REF!</f>
        <v>#REF!</v>
      </c>
      <c r="F193" s="71" t="e">
        <f aca="false">#REF!</f>
        <v>#REF!</v>
      </c>
      <c r="G193" s="71" t="e">
        <f aca="false">#REF!</f>
        <v>#REF!</v>
      </c>
      <c r="H193" s="71" t="e">
        <f aca="false">#REF!</f>
        <v>#REF!</v>
      </c>
      <c r="I193" s="71" t="e">
        <f aca="false">#REF!</f>
        <v>#REF!</v>
      </c>
      <c r="J193" s="71" t="e">
        <f aca="false">#REF!</f>
        <v>#REF!</v>
      </c>
      <c r="K193" s="71" t="e">
        <f aca="false">#REF!</f>
        <v>#REF!</v>
      </c>
      <c r="L193" s="71" t="e">
        <f aca="false">#REF!</f>
        <v>#REF!</v>
      </c>
      <c r="M193" s="71" t="e">
        <f aca="false">#REF!</f>
        <v>#REF!</v>
      </c>
      <c r="N193" s="71" t="e">
        <f aca="false">#REF!</f>
        <v>#REF!</v>
      </c>
      <c r="O193" s="71" t="e">
        <f aca="false">#REF!</f>
        <v>#REF!</v>
      </c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72" t="s">
        <v>351</v>
      </c>
      <c r="AB193" s="73" t="s">
        <v>436</v>
      </c>
      <c r="AC193" s="71" t="e">
        <f aca="false">#REF!</f>
        <v>#REF!</v>
      </c>
      <c r="AD193" s="71" t="e">
        <f aca="false">#REF!</f>
        <v>#REF!</v>
      </c>
      <c r="AE193" s="71" t="e">
        <f aca="false">#REF!</f>
        <v>#REF!</v>
      </c>
      <c r="AF193" s="71" t="e">
        <f aca="false">#REF!</f>
        <v>#REF!</v>
      </c>
      <c r="AG193" s="71" t="e">
        <f aca="false">#REF!</f>
        <v>#REF!</v>
      </c>
      <c r="AH193" s="71" t="e">
        <f aca="false">#REF!</f>
        <v>#REF!</v>
      </c>
      <c r="AI193" s="71" t="e">
        <f aca="false">#REF!</f>
        <v>#REF!</v>
      </c>
      <c r="AJ193" s="71" t="e">
        <f aca="false">#REF!</f>
        <v>#REF!</v>
      </c>
      <c r="AK193" s="71" t="e">
        <f aca="false">#REF!</f>
        <v>#REF!</v>
      </c>
      <c r="AL193" s="71" t="e">
        <f aca="false">#REF!</f>
        <v>#REF!</v>
      </c>
      <c r="AM193" s="71" t="e">
        <f aca="false">#REF!</f>
        <v>#REF!</v>
      </c>
      <c r="AN193" s="71" t="e">
        <f aca="false">#REF!</f>
        <v>#REF!</v>
      </c>
      <c r="AO193" s="71" t="e">
        <f aca="false">#REF!</f>
        <v>#REF!</v>
      </c>
      <c r="AP193" s="52"/>
      <c r="AQ193" s="52"/>
      <c r="AR193" s="52"/>
    </row>
    <row r="194" customFormat="false" ht="12.75" hidden="false" customHeight="false" outlineLevel="0" collapsed="false">
      <c r="A194" s="72" t="s">
        <v>346</v>
      </c>
      <c r="B194" s="73" t="s">
        <v>437</v>
      </c>
      <c r="C194" s="80" t="n">
        <f aca="false">C67+C75</f>
        <v>19670</v>
      </c>
      <c r="D194" s="80" t="n">
        <f aca="false">D67+D75</f>
        <v>17685</v>
      </c>
      <c r="E194" s="80" t="n">
        <f aca="false">E67+E75</f>
        <v>21448</v>
      </c>
      <c r="F194" s="80" t="n">
        <f aca="false">F67+F75</f>
        <v>21938</v>
      </c>
      <c r="G194" s="80" t="n">
        <f aca="false">G67+G75</f>
        <v>21919</v>
      </c>
      <c r="H194" s="80" t="n">
        <f aca="false">H67+H75</f>
        <v>22242</v>
      </c>
      <c r="I194" s="80" t="n">
        <f aca="false">I67+I75</f>
        <v>22059</v>
      </c>
      <c r="J194" s="80" t="n">
        <f aca="false">J67+J75</f>
        <v>21846</v>
      </c>
      <c r="K194" s="80" t="n">
        <f aca="false">K67+K75</f>
        <v>21711</v>
      </c>
      <c r="L194" s="80" t="n">
        <f aca="false">L67+L75</f>
        <v>21511</v>
      </c>
      <c r="M194" s="80" t="n">
        <f aca="false">M67+M75</f>
        <v>22174</v>
      </c>
      <c r="N194" s="80" t="n">
        <f aca="false">N67+N75</f>
        <v>22037</v>
      </c>
      <c r="O194" s="80" t="n">
        <f aca="false">O67+O75</f>
        <v>10892</v>
      </c>
      <c r="P194" s="80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72" t="s">
        <v>346</v>
      </c>
      <c r="AB194" s="73" t="s">
        <v>437</v>
      </c>
      <c r="AC194" s="80" t="n">
        <f aca="false">AC67+AC75</f>
        <v>0</v>
      </c>
      <c r="AD194" s="80" t="n">
        <f aca="false">AD67+AD75</f>
        <v>0</v>
      </c>
      <c r="AE194" s="80" t="n">
        <f aca="false">AE67+AE75</f>
        <v>0</v>
      </c>
      <c r="AF194" s="80" t="n">
        <f aca="false">AF67+AF75</f>
        <v>0</v>
      </c>
      <c r="AG194" s="80" t="n">
        <f aca="false">AG67+AG75</f>
        <v>0</v>
      </c>
      <c r="AH194" s="80" t="n">
        <f aca="false">AH67+AH75</f>
        <v>0</v>
      </c>
      <c r="AI194" s="80" t="n">
        <f aca="false">AI67+AI75</f>
        <v>0</v>
      </c>
      <c r="AJ194" s="80" t="n">
        <f aca="false">AJ67+AJ75</f>
        <v>0</v>
      </c>
      <c r="AK194" s="80" t="n">
        <f aca="false">AK67+AK75</f>
        <v>0</v>
      </c>
      <c r="AL194" s="80" t="n">
        <f aca="false">AL67+AL75</f>
        <v>0</v>
      </c>
      <c r="AM194" s="80" t="n">
        <f aca="false">AM67+AM75</f>
        <v>0</v>
      </c>
      <c r="AN194" s="80" t="n">
        <f aca="false">AN67+AN75</f>
        <v>0</v>
      </c>
      <c r="AO194" s="80" t="n">
        <f aca="false">AO67+AO75</f>
        <v>0</v>
      </c>
      <c r="AP194" s="80"/>
      <c r="AQ194" s="52"/>
      <c r="AR194" s="52"/>
    </row>
    <row r="195" customFormat="false" ht="3.9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</row>
    <row r="196" customFormat="false" ht="12.75" hidden="false" customHeight="false" outlineLevel="0" collapsed="false">
      <c r="A196" s="49"/>
      <c r="B196" s="70" t="s">
        <v>438</v>
      </c>
      <c r="C196" s="80" t="e">
        <f aca="false">SUM(C185:C195)</f>
        <v>#REF!</v>
      </c>
      <c r="D196" s="80" t="e">
        <f aca="false">SUM(D185:D195)</f>
        <v>#REF!</v>
      </c>
      <c r="E196" s="80" t="e">
        <f aca="false">SUM(E185:E195)</f>
        <v>#REF!</v>
      </c>
      <c r="F196" s="80" t="e">
        <f aca="false">SUM(F185:F195)</f>
        <v>#REF!</v>
      </c>
      <c r="G196" s="80" t="e">
        <f aca="false">SUM(G185:G195)</f>
        <v>#REF!</v>
      </c>
      <c r="H196" s="80" t="e">
        <f aca="false">SUM(H185:H195)</f>
        <v>#REF!</v>
      </c>
      <c r="I196" s="80" t="e">
        <f aca="false">SUM(I185:I195)</f>
        <v>#REF!</v>
      </c>
      <c r="J196" s="80" t="e">
        <f aca="false">SUM(J185:J195)</f>
        <v>#REF!</v>
      </c>
      <c r="K196" s="80" t="e">
        <f aca="false">SUM(K185:K195)</f>
        <v>#REF!</v>
      </c>
      <c r="L196" s="80" t="e">
        <f aca="false">SUM(L185:L195)</f>
        <v>#REF!</v>
      </c>
      <c r="M196" s="80" t="e">
        <f aca="false">SUM(M185:M195)</f>
        <v>#REF!</v>
      </c>
      <c r="N196" s="80" t="e">
        <f aca="false">SUM(N185:N195)</f>
        <v>#REF!</v>
      </c>
      <c r="O196" s="80" t="e">
        <f aca="false">SUM(O185:O195)</f>
        <v>#REF!</v>
      </c>
      <c r="P196" s="80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49"/>
      <c r="AB196" s="70" t="s">
        <v>438</v>
      </c>
      <c r="AC196" s="80" t="e">
        <f aca="false">SUM(AC185:AC195)</f>
        <v>#REF!</v>
      </c>
      <c r="AD196" s="80" t="e">
        <f aca="false">SUM(AD185:AD195)</f>
        <v>#REF!</v>
      </c>
      <c r="AE196" s="80" t="e">
        <f aca="false">SUM(AE185:AE195)</f>
        <v>#REF!</v>
      </c>
      <c r="AF196" s="80" t="e">
        <f aca="false">SUM(AF185:AF195)</f>
        <v>#REF!</v>
      </c>
      <c r="AG196" s="80" t="e">
        <f aca="false">SUM(AG185:AG195)</f>
        <v>#REF!</v>
      </c>
      <c r="AH196" s="80" t="e">
        <f aca="false">SUM(AH185:AH195)</f>
        <v>#REF!</v>
      </c>
      <c r="AI196" s="80" t="e">
        <f aca="false">SUM(AI185:AI195)</f>
        <v>#REF!</v>
      </c>
      <c r="AJ196" s="80" t="e">
        <f aca="false">SUM(AJ185:AJ195)</f>
        <v>#REF!</v>
      </c>
      <c r="AK196" s="80" t="e">
        <f aca="false">SUM(AK185:AK195)</f>
        <v>#REF!</v>
      </c>
      <c r="AL196" s="80" t="e">
        <f aca="false">SUM(AL185:AL195)</f>
        <v>#REF!</v>
      </c>
      <c r="AM196" s="80" t="e">
        <f aca="false">SUM(AM185:AM195)</f>
        <v>#REF!</v>
      </c>
      <c r="AN196" s="80" t="e">
        <f aca="false">SUM(AN185:AN195)</f>
        <v>#REF!</v>
      </c>
      <c r="AO196" s="80" t="e">
        <f aca="false">SUM(AO185:AO195)</f>
        <v>#REF!</v>
      </c>
      <c r="AP196" s="80"/>
      <c r="AQ196" s="52"/>
      <c r="AR196" s="52"/>
    </row>
    <row r="197" customFormat="false" ht="12.75" hidden="false" customHeight="false" outlineLevel="0" collapsed="false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</row>
    <row r="198" customFormat="false" ht="12.75" hidden="false" customHeight="false" outlineLevel="0" collapsed="false">
      <c r="A198" s="49"/>
      <c r="B198" s="70" t="s">
        <v>439</v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49"/>
      <c r="AB198" s="70" t="s">
        <v>439</v>
      </c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52"/>
      <c r="AQ198" s="52"/>
      <c r="AR198" s="52"/>
    </row>
    <row r="199" customFormat="false" ht="12.75" hidden="false" customHeight="false" outlineLevel="0" collapsed="false">
      <c r="A199" s="72" t="s">
        <v>302</v>
      </c>
      <c r="B199" s="73" t="s">
        <v>440</v>
      </c>
      <c r="C199" s="71" t="n">
        <f aca="false">C80</f>
        <v>0</v>
      </c>
      <c r="D199" s="71" t="n">
        <f aca="false">D80</f>
        <v>0</v>
      </c>
      <c r="E199" s="71" t="n">
        <f aca="false">E80</f>
        <v>0</v>
      </c>
      <c r="F199" s="71" t="n">
        <f aca="false">F80</f>
        <v>0</v>
      </c>
      <c r="G199" s="71" t="n">
        <f aca="false">G80</f>
        <v>0</v>
      </c>
      <c r="H199" s="71" t="n">
        <f aca="false">H80</f>
        <v>0</v>
      </c>
      <c r="I199" s="71" t="n">
        <f aca="false">I80</f>
        <v>0</v>
      </c>
      <c r="J199" s="71" t="n">
        <f aca="false">J80</f>
        <v>0</v>
      </c>
      <c r="K199" s="71" t="n">
        <f aca="false">K80</f>
        <v>0</v>
      </c>
      <c r="L199" s="71" t="n">
        <f aca="false">L80</f>
        <v>0</v>
      </c>
      <c r="M199" s="71" t="n">
        <f aca="false">M80</f>
        <v>0</v>
      </c>
      <c r="N199" s="71" t="n">
        <f aca="false">N80</f>
        <v>0</v>
      </c>
      <c r="O199" s="71" t="n">
        <f aca="false">O80</f>
        <v>0</v>
      </c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72" t="s">
        <v>302</v>
      </c>
      <c r="AB199" s="73" t="s">
        <v>440</v>
      </c>
      <c r="AC199" s="71" t="n">
        <f aca="false">AC80</f>
        <v>0</v>
      </c>
      <c r="AD199" s="71" t="n">
        <f aca="false">AD80</f>
        <v>0</v>
      </c>
      <c r="AE199" s="71" t="n">
        <f aca="false">AE80</f>
        <v>0</v>
      </c>
      <c r="AF199" s="71" t="n">
        <f aca="false">AF80</f>
        <v>0</v>
      </c>
      <c r="AG199" s="71" t="n">
        <f aca="false">AG80</f>
        <v>0</v>
      </c>
      <c r="AH199" s="71" t="n">
        <f aca="false">AH80</f>
        <v>0</v>
      </c>
      <c r="AI199" s="71" t="n">
        <f aca="false">AI80</f>
        <v>0</v>
      </c>
      <c r="AJ199" s="71" t="n">
        <f aca="false">AJ80</f>
        <v>0</v>
      </c>
      <c r="AK199" s="71" t="n">
        <f aca="false">AK80</f>
        <v>0</v>
      </c>
      <c r="AL199" s="71" t="n">
        <f aca="false">AL80</f>
        <v>0</v>
      </c>
      <c r="AM199" s="71" t="n">
        <f aca="false">AM80</f>
        <v>0</v>
      </c>
      <c r="AN199" s="71" t="n">
        <f aca="false">AN80</f>
        <v>0</v>
      </c>
      <c r="AO199" s="71" t="n">
        <f aca="false">AO80</f>
        <v>0</v>
      </c>
      <c r="AP199" s="52"/>
      <c r="AQ199" s="52"/>
      <c r="AR199" s="52"/>
    </row>
    <row r="200" customFormat="false" ht="12.75" hidden="false" customHeight="false" outlineLevel="0" collapsed="false">
      <c r="A200" s="72" t="s">
        <v>356</v>
      </c>
      <c r="B200" s="73" t="s">
        <v>441</v>
      </c>
      <c r="C200" s="71" t="n">
        <f aca="false">C81+C82</f>
        <v>499666</v>
      </c>
      <c r="D200" s="71" t="n">
        <f aca="false">D81+D82</f>
        <v>499672</v>
      </c>
      <c r="E200" s="71" t="n">
        <f aca="false">E81+E82</f>
        <v>499678</v>
      </c>
      <c r="F200" s="71" t="n">
        <f aca="false">F81+F82</f>
        <v>499685</v>
      </c>
      <c r="G200" s="71" t="n">
        <f aca="false">G81+G82</f>
        <v>499691</v>
      </c>
      <c r="H200" s="71" t="n">
        <f aca="false">H81+H82</f>
        <v>499698</v>
      </c>
      <c r="I200" s="71" t="n">
        <f aca="false">I81+I82</f>
        <v>499704</v>
      </c>
      <c r="J200" s="71" t="n">
        <f aca="false">J81+J82</f>
        <v>499711</v>
      </c>
      <c r="K200" s="71" t="n">
        <f aca="false">K81+K82</f>
        <v>499717</v>
      </c>
      <c r="L200" s="71" t="n">
        <f aca="false">L81+L82</f>
        <v>499724</v>
      </c>
      <c r="M200" s="71" t="n">
        <f aca="false">M81+M82</f>
        <v>499730</v>
      </c>
      <c r="N200" s="71" t="n">
        <f aca="false">N81+N82</f>
        <v>499737</v>
      </c>
      <c r="O200" s="71" t="n">
        <f aca="false">O81+O82</f>
        <v>499743</v>
      </c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72" t="s">
        <v>356</v>
      </c>
      <c r="AB200" s="73" t="s">
        <v>441</v>
      </c>
      <c r="AC200" s="71" t="n">
        <f aca="false">AC81+AC82</f>
        <v>0</v>
      </c>
      <c r="AD200" s="71" t="n">
        <f aca="false">AD81+AD82</f>
        <v>0</v>
      </c>
      <c r="AE200" s="71" t="n">
        <f aca="false">AE81+AE82</f>
        <v>0</v>
      </c>
      <c r="AF200" s="71" t="n">
        <f aca="false">AF81+AF82</f>
        <v>0</v>
      </c>
      <c r="AG200" s="71" t="n">
        <f aca="false">AG81+AG82</f>
        <v>0</v>
      </c>
      <c r="AH200" s="71" t="n">
        <f aca="false">AH81+AH82</f>
        <v>0</v>
      </c>
      <c r="AI200" s="71" t="n">
        <f aca="false">AI81+AI82</f>
        <v>0</v>
      </c>
      <c r="AJ200" s="71" t="n">
        <f aca="false">AJ81+AJ82</f>
        <v>0</v>
      </c>
      <c r="AK200" s="71" t="n">
        <f aca="false">AK81+AK82</f>
        <v>0</v>
      </c>
      <c r="AL200" s="71" t="n">
        <f aca="false">AL81+AL82</f>
        <v>0</v>
      </c>
      <c r="AM200" s="71" t="n">
        <f aca="false">AM81+AM82</f>
        <v>0</v>
      </c>
      <c r="AN200" s="71" t="n">
        <f aca="false">AN81+AN82</f>
        <v>0</v>
      </c>
      <c r="AO200" s="71" t="n">
        <f aca="false">AO81+AO82</f>
        <v>0</v>
      </c>
      <c r="AP200" s="52"/>
      <c r="AQ200" s="52"/>
      <c r="AR200" s="52"/>
    </row>
    <row r="201" customFormat="false" ht="12.75" hidden="false" customHeight="false" outlineLevel="0" collapsed="false">
      <c r="A201" s="72" t="s">
        <v>365</v>
      </c>
      <c r="B201" s="73" t="s">
        <v>442</v>
      </c>
      <c r="C201" s="80" t="n">
        <f aca="false">C92</f>
        <v>1087527</v>
      </c>
      <c r="D201" s="80" t="n">
        <f aca="false">D92</f>
        <v>1107628</v>
      </c>
      <c r="E201" s="80" t="n">
        <f aca="false">E92</f>
        <v>1126280</v>
      </c>
      <c r="F201" s="80" t="n">
        <f aca="false">F92</f>
        <v>1138649</v>
      </c>
      <c r="G201" s="80" t="n">
        <f aca="false">G92</f>
        <v>1141747</v>
      </c>
      <c r="H201" s="80" t="n">
        <f aca="false">H92</f>
        <v>1142736</v>
      </c>
      <c r="I201" s="80" t="n">
        <f aca="false">I92</f>
        <v>1145702</v>
      </c>
      <c r="J201" s="80" t="n">
        <f aca="false">J92</f>
        <v>1147250</v>
      </c>
      <c r="K201" s="80" t="n">
        <f aca="false">K92</f>
        <v>1149724</v>
      </c>
      <c r="L201" s="80" t="n">
        <f aca="false">L92</f>
        <v>1150370</v>
      </c>
      <c r="M201" s="80" t="n">
        <f aca="false">M92</f>
        <v>1149185</v>
      </c>
      <c r="N201" s="80" t="n">
        <f aca="false">N92</f>
        <v>1165536</v>
      </c>
      <c r="O201" s="80" t="n">
        <f aca="false">O92</f>
        <v>1182292</v>
      </c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72" t="s">
        <v>365</v>
      </c>
      <c r="AB201" s="73" t="s">
        <v>442</v>
      </c>
      <c r="AC201" s="80" t="n">
        <f aca="false">AC92</f>
        <v>67757</v>
      </c>
      <c r="AD201" s="80" t="n">
        <f aca="false">AD92</f>
        <v>68069</v>
      </c>
      <c r="AE201" s="80" t="n">
        <f aca="false">AE92</f>
        <v>68256</v>
      </c>
      <c r="AF201" s="80" t="n">
        <f aca="false">AF92</f>
        <v>63455</v>
      </c>
      <c r="AG201" s="80" t="n">
        <f aca="false">AG92</f>
        <v>64263</v>
      </c>
      <c r="AH201" s="80" t="n">
        <f aca="false">AH92</f>
        <v>64439</v>
      </c>
      <c r="AI201" s="80" t="n">
        <f aca="false">AI92</f>
        <v>64695</v>
      </c>
      <c r="AJ201" s="80" t="n">
        <f aca="false">AJ92</f>
        <v>64884</v>
      </c>
      <c r="AK201" s="80" t="n">
        <f aca="false">AK92</f>
        <v>65033</v>
      </c>
      <c r="AL201" s="80" t="n">
        <f aca="false">AL92</f>
        <v>65216</v>
      </c>
      <c r="AM201" s="80" t="n">
        <f aca="false">AM92</f>
        <v>65403</v>
      </c>
      <c r="AN201" s="80" t="n">
        <f aca="false">AN92</f>
        <v>65600</v>
      </c>
      <c r="AO201" s="80" t="n">
        <f aca="false">AO92</f>
        <v>65592</v>
      </c>
      <c r="AP201" s="52"/>
      <c r="AQ201" s="52"/>
      <c r="AR201" s="52"/>
    </row>
    <row r="202" customFormat="false" ht="3.9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</row>
    <row r="203" customFormat="false" ht="12.75" hidden="false" customHeight="false" outlineLevel="0" collapsed="false">
      <c r="A203" s="49"/>
      <c r="B203" s="70" t="s">
        <v>443</v>
      </c>
      <c r="C203" s="80" t="n">
        <f aca="false">SUM(C199:C202)</f>
        <v>1587193</v>
      </c>
      <c r="D203" s="80" t="n">
        <f aca="false">SUM(D199:D202)</f>
        <v>1607300</v>
      </c>
      <c r="E203" s="80" t="n">
        <f aca="false">SUM(E199:E202)</f>
        <v>1625958</v>
      </c>
      <c r="F203" s="80" t="n">
        <f aca="false">SUM(F199:F202)</f>
        <v>1638334</v>
      </c>
      <c r="G203" s="80" t="n">
        <f aca="false">SUM(G199:G202)</f>
        <v>1641438</v>
      </c>
      <c r="H203" s="80" t="n">
        <f aca="false">SUM(H199:H202)</f>
        <v>1642434</v>
      </c>
      <c r="I203" s="80" t="n">
        <f aca="false">SUM(I199:I202)</f>
        <v>1645406</v>
      </c>
      <c r="J203" s="80" t="n">
        <f aca="false">SUM(J199:J202)</f>
        <v>1646961</v>
      </c>
      <c r="K203" s="80" t="n">
        <f aca="false">SUM(K199:K202)</f>
        <v>1649441</v>
      </c>
      <c r="L203" s="80" t="n">
        <f aca="false">SUM(L199:L202)</f>
        <v>1650094</v>
      </c>
      <c r="M203" s="80" t="n">
        <f aca="false">SUM(M199:M202)</f>
        <v>1648915</v>
      </c>
      <c r="N203" s="80" t="n">
        <f aca="false">SUM(N199:N202)</f>
        <v>1665273</v>
      </c>
      <c r="O203" s="80" t="n">
        <f aca="false">SUM(O199:O202)</f>
        <v>1682035</v>
      </c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49"/>
      <c r="AB203" s="70" t="s">
        <v>443</v>
      </c>
      <c r="AC203" s="80" t="n">
        <f aca="false">SUM(AC199:AC202)</f>
        <v>67757</v>
      </c>
      <c r="AD203" s="80" t="n">
        <f aca="false">SUM(AD199:AD202)</f>
        <v>68069</v>
      </c>
      <c r="AE203" s="80" t="n">
        <f aca="false">SUM(AE199:AE202)</f>
        <v>68256</v>
      </c>
      <c r="AF203" s="80" t="n">
        <f aca="false">SUM(AF199:AF202)</f>
        <v>63455</v>
      </c>
      <c r="AG203" s="80" t="n">
        <f aca="false">SUM(AG199:AG202)</f>
        <v>64263</v>
      </c>
      <c r="AH203" s="80" t="n">
        <f aca="false">SUM(AH199:AH202)</f>
        <v>64439</v>
      </c>
      <c r="AI203" s="80" t="n">
        <f aca="false">SUM(AI199:AI202)</f>
        <v>64695</v>
      </c>
      <c r="AJ203" s="80" t="n">
        <f aca="false">SUM(AJ199:AJ202)</f>
        <v>64884</v>
      </c>
      <c r="AK203" s="80" t="n">
        <f aca="false">SUM(AK199:AK202)</f>
        <v>65033</v>
      </c>
      <c r="AL203" s="80" t="n">
        <f aca="false">SUM(AL199:AL202)</f>
        <v>65216</v>
      </c>
      <c r="AM203" s="80" t="n">
        <f aca="false">SUM(AM199:AM202)</f>
        <v>65403</v>
      </c>
      <c r="AN203" s="80" t="n">
        <f aca="false">SUM(AN199:AN202)</f>
        <v>65600</v>
      </c>
      <c r="AO203" s="80" t="n">
        <f aca="false">SUM(AO199:AO202)</f>
        <v>65592</v>
      </c>
      <c r="AP203" s="52"/>
      <c r="AQ203" s="52"/>
      <c r="AR203" s="52"/>
    </row>
    <row r="204" customFormat="false" ht="12.75" hidden="false" customHeight="false" outlineLevel="0" collapsed="false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</row>
    <row r="205" customFormat="false" ht="12.75" hidden="false" customHeight="false" outlineLevel="0" collapsed="false">
      <c r="A205" s="49"/>
      <c r="B205" s="70" t="s">
        <v>444</v>
      </c>
      <c r="C205" s="85" t="e">
        <f aca="false">C196+C203</f>
        <v>#REF!</v>
      </c>
      <c r="D205" s="85" t="e">
        <f aca="false">D196+D203</f>
        <v>#REF!</v>
      </c>
      <c r="E205" s="85" t="e">
        <f aca="false">E196+E203</f>
        <v>#REF!</v>
      </c>
      <c r="F205" s="85" t="e">
        <f aca="false">F196+F203</f>
        <v>#REF!</v>
      </c>
      <c r="G205" s="85" t="e">
        <f aca="false">G196+G203</f>
        <v>#REF!</v>
      </c>
      <c r="H205" s="85" t="e">
        <f aca="false">H196+H203</f>
        <v>#REF!</v>
      </c>
      <c r="I205" s="85" t="e">
        <f aca="false">I196+I203</f>
        <v>#REF!</v>
      </c>
      <c r="J205" s="85" t="e">
        <f aca="false">J196+J203</f>
        <v>#REF!</v>
      </c>
      <c r="K205" s="85" t="e">
        <f aca="false">K196+K203</f>
        <v>#REF!</v>
      </c>
      <c r="L205" s="85" t="e">
        <f aca="false">L196+L203</f>
        <v>#REF!</v>
      </c>
      <c r="M205" s="85" t="e">
        <f aca="false">M196+M203</f>
        <v>#REF!</v>
      </c>
      <c r="N205" s="85" t="e">
        <f aca="false">N196+N203</f>
        <v>#REF!</v>
      </c>
      <c r="O205" s="85" t="e">
        <f aca="false">O196+O203</f>
        <v>#REF!</v>
      </c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49"/>
      <c r="AB205" s="70" t="s">
        <v>444</v>
      </c>
      <c r="AC205" s="85" t="e">
        <f aca="false">AC196+AC203</f>
        <v>#REF!</v>
      </c>
      <c r="AD205" s="85" t="e">
        <f aca="false">AD196+AD203</f>
        <v>#REF!</v>
      </c>
      <c r="AE205" s="85" t="e">
        <f aca="false">AE196+AE203</f>
        <v>#REF!</v>
      </c>
      <c r="AF205" s="85" t="e">
        <f aca="false">AF196+AF203</f>
        <v>#REF!</v>
      </c>
      <c r="AG205" s="85" t="e">
        <f aca="false">AG196+AG203</f>
        <v>#REF!</v>
      </c>
      <c r="AH205" s="85" t="e">
        <f aca="false">AH196+AH203</f>
        <v>#REF!</v>
      </c>
      <c r="AI205" s="85" t="e">
        <f aca="false">AI196+AI203</f>
        <v>#REF!</v>
      </c>
      <c r="AJ205" s="85" t="e">
        <f aca="false">AJ196+AJ203</f>
        <v>#REF!</v>
      </c>
      <c r="AK205" s="85" t="e">
        <f aca="false">AK196+AK203</f>
        <v>#REF!</v>
      </c>
      <c r="AL205" s="85" t="e">
        <f aca="false">AL196+AL203</f>
        <v>#REF!</v>
      </c>
      <c r="AM205" s="85" t="e">
        <f aca="false">AM196+AM203</f>
        <v>#REF!</v>
      </c>
      <c r="AN205" s="85" t="e">
        <f aca="false">AN196+AN203</f>
        <v>#REF!</v>
      </c>
      <c r="AO205" s="85" t="e">
        <f aca="false">AO196+AO203</f>
        <v>#REF!</v>
      </c>
      <c r="AP205" s="52"/>
      <c r="AQ205" s="52"/>
      <c r="AR205" s="52"/>
    </row>
    <row r="206" customFormat="false" ht="12.75" hidden="false" customHeight="false" outlineLevel="0" collapsed="false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</row>
    <row r="207" customFormat="false" ht="12.75" hidden="false" customHeight="false" outlineLevel="0" collapsed="false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</row>
    <row r="208" customFormat="false" ht="12.75" hidden="false" customHeight="false" outlineLevel="0" collapsed="false">
      <c r="A208" s="52"/>
      <c r="B208" s="73" t="s">
        <v>368</v>
      </c>
      <c r="C208" s="71" t="e">
        <f aca="false">C181-C205</f>
        <v>#REF!</v>
      </c>
      <c r="D208" s="71" t="e">
        <f aca="false">D181-D205</f>
        <v>#REF!</v>
      </c>
      <c r="E208" s="71" t="e">
        <f aca="false">E181-E205</f>
        <v>#REF!</v>
      </c>
      <c r="F208" s="71" t="e">
        <f aca="false">F181-F205</f>
        <v>#REF!</v>
      </c>
      <c r="G208" s="71" t="e">
        <f aca="false">G181-G205</f>
        <v>#REF!</v>
      </c>
      <c r="H208" s="71" t="e">
        <f aca="false">H181-H205</f>
        <v>#REF!</v>
      </c>
      <c r="I208" s="71" t="e">
        <f aca="false">I181-I205</f>
        <v>#REF!</v>
      </c>
      <c r="J208" s="71" t="e">
        <f aca="false">J181-J205</f>
        <v>#REF!</v>
      </c>
      <c r="K208" s="71" t="e">
        <f aca="false">K181-K205</f>
        <v>#REF!</v>
      </c>
      <c r="L208" s="71" t="e">
        <f aca="false">L181-L205</f>
        <v>#REF!</v>
      </c>
      <c r="M208" s="71" t="e">
        <f aca="false">M181-M205</f>
        <v>#REF!</v>
      </c>
      <c r="N208" s="71" t="e">
        <f aca="false">N181-N205</f>
        <v>#REF!</v>
      </c>
      <c r="O208" s="71" t="e">
        <f aca="false">O181-O205</f>
        <v>#REF!</v>
      </c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73" t="s">
        <v>368</v>
      </c>
      <c r="AC208" s="71" t="e">
        <f aca="false">AC181-AC205</f>
        <v>#REF!</v>
      </c>
      <c r="AD208" s="71" t="e">
        <f aca="false">AD181-AD205</f>
        <v>#REF!</v>
      </c>
      <c r="AE208" s="71" t="e">
        <f aca="false">AE181-AE205</f>
        <v>#REF!</v>
      </c>
      <c r="AF208" s="71" t="e">
        <f aca="false">AF181-AF205</f>
        <v>#REF!</v>
      </c>
      <c r="AG208" s="71" t="e">
        <f aca="false">AG181-AG205</f>
        <v>#REF!</v>
      </c>
      <c r="AH208" s="71" t="e">
        <f aca="false">AH181-AH205</f>
        <v>#REF!</v>
      </c>
      <c r="AI208" s="71" t="e">
        <f aca="false">AI181-AI205</f>
        <v>#REF!</v>
      </c>
      <c r="AJ208" s="71" t="e">
        <f aca="false">AJ181-AJ205</f>
        <v>#REF!</v>
      </c>
      <c r="AK208" s="71" t="e">
        <f aca="false">AK181-AK205</f>
        <v>#REF!</v>
      </c>
      <c r="AL208" s="71" t="e">
        <f aca="false">AL181-AL205</f>
        <v>#REF!</v>
      </c>
      <c r="AM208" s="71" t="e">
        <f aca="false">AM181-AM205</f>
        <v>#REF!</v>
      </c>
      <c r="AN208" s="71" t="e">
        <f aca="false">AN181-AN205</f>
        <v>#REF!</v>
      </c>
      <c r="AO208" s="71" t="e">
        <f aca="false">AO181-AO205</f>
        <v>#REF!</v>
      </c>
      <c r="AP208" s="52"/>
      <c r="AQ208" s="52"/>
      <c r="AR208" s="52"/>
    </row>
    <row r="209" customFormat="false" ht="12.75" hidden="false" customHeight="false" outlineLevel="0" collapsed="false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</row>
    <row r="211" customFormat="false" ht="8.1" hidden="false" customHeight="true" outlineLevel="0" collapsed="false"/>
    <row r="232" customFormat="false" ht="12.75" hidden="false" customHeight="false" outlineLevel="0" collapsed="false">
      <c r="C232" s="97" t="s">
        <v>445</v>
      </c>
      <c r="D232" s="97" t="s">
        <v>446</v>
      </c>
    </row>
    <row r="233" customFormat="false" ht="12.75" hidden="false" customHeight="false" outlineLevel="0" collapsed="false">
      <c r="D233" s="97" t="s">
        <v>447</v>
      </c>
    </row>
    <row r="238" customFormat="false" ht="12.75" hidden="false" customHeight="false" outlineLevel="0" collapsed="false">
      <c r="C238" s="97" t="s">
        <v>448</v>
      </c>
      <c r="D238" s="97" t="s">
        <v>449</v>
      </c>
    </row>
    <row r="239" customFormat="false" ht="12.75" hidden="false" customHeight="false" outlineLevel="0" collapsed="false">
      <c r="D239" s="97" t="s">
        <v>450</v>
      </c>
    </row>
  </sheetData>
  <mergeCells count="32">
    <mergeCell ref="F1:I1"/>
    <mergeCell ref="AE1:AJ1"/>
    <mergeCell ref="BF1:BI1"/>
    <mergeCell ref="CF1:CI1"/>
    <mergeCell ref="F2:I2"/>
    <mergeCell ref="AF2:AI2"/>
    <mergeCell ref="BF2:BI2"/>
    <mergeCell ref="CF2:CI2"/>
    <mergeCell ref="F3:I3"/>
    <mergeCell ref="AF3:AI3"/>
    <mergeCell ref="BF3:BI3"/>
    <mergeCell ref="CF3:CI3"/>
    <mergeCell ref="F4:I4"/>
    <mergeCell ref="AF4:AI4"/>
    <mergeCell ref="BF4:BI4"/>
    <mergeCell ref="CF4:CI4"/>
    <mergeCell ref="F102:I102"/>
    <mergeCell ref="AF102:AI102"/>
    <mergeCell ref="F103:I103"/>
    <mergeCell ref="AF103:AI103"/>
    <mergeCell ref="F104:I104"/>
    <mergeCell ref="AF104:AI104"/>
    <mergeCell ref="F105:I105"/>
    <mergeCell ref="AF105:AI105"/>
    <mergeCell ref="F157:I157"/>
    <mergeCell ref="AF157:AI157"/>
    <mergeCell ref="F158:I158"/>
    <mergeCell ref="AF158:AI158"/>
    <mergeCell ref="F159:I159"/>
    <mergeCell ref="AF159:AI159"/>
    <mergeCell ref="F160:I160"/>
    <mergeCell ref="AF160:AI160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BalanceSheet">
                <anchor moveWithCells="true" sizeWithCells="false">
                  <from>
                    <xdr:col>1</xdr:col>
                    <xdr:colOff>924840</xdr:colOff>
                    <xdr:row>3</xdr:row>
                    <xdr:rowOff>9360</xdr:rowOff>
                  </from>
                  <to>
                    <xdr:col>2</xdr:col>
                    <xdr:colOff>-1204920</xdr:colOff>
                    <xdr:row>6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51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3" ySplit="3" topLeftCell="N8" activePane="bottomRight" state="frozen"/>
      <selection pane="topLeft" activeCell="A5" activeCellId="0" sqref="A5"/>
      <selection pane="topRight" activeCell="N5" activeCellId="0" sqref="N5"/>
      <selection pane="bottomLeft" activeCell="A8" activeCellId="0" sqref="A8"/>
      <selection pane="bottomRight" activeCell="O9" activeCellId="0" sqref="O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98" width="40.7"/>
    <col collapsed="false" customWidth="true" hidden="false" outlineLevel="0" max="3" min="2" style="98" width="8.7"/>
    <col collapsed="false" customWidth="true" hidden="false" outlineLevel="0" max="17" min="4" style="98" width="9.7"/>
    <col collapsed="false" customWidth="false" hidden="false" outlineLevel="0" max="18" min="18" style="98" width="10.71"/>
    <col collapsed="false" customWidth="true" hidden="false" outlineLevel="0" max="19" min="19" style="98" width="3.85"/>
    <col collapsed="false" customWidth="true" hidden="false" outlineLevel="0" max="22" min="20" style="98" width="9.7"/>
    <col collapsed="false" customWidth="true" hidden="false" outlineLevel="0" max="23" min="23" style="98" width="5.71"/>
    <col collapsed="false" customWidth="false" hidden="false" outlineLevel="0" max="26" min="24" style="98" width="10.71"/>
    <col collapsed="false" customWidth="true" hidden="false" outlineLevel="0" max="27" min="27" style="98" width="52.7"/>
    <col collapsed="false" customWidth="true" hidden="false" outlineLevel="0" max="29" min="28" style="98" width="9.7"/>
    <col collapsed="false" customWidth="false" hidden="false" outlineLevel="0" max="30" min="30" style="98" width="10.71"/>
    <col collapsed="false" customWidth="true" hidden="false" outlineLevel="0" max="31" min="31" style="98" width="3.7"/>
    <col collapsed="false" customWidth="true" hidden="false" outlineLevel="0" max="34" min="32" style="98" width="9.7"/>
    <col collapsed="false" customWidth="true" hidden="false" outlineLevel="0" max="35" min="35" style="98" width="5.71"/>
    <col collapsed="false" customWidth="true" hidden="false" outlineLevel="0" max="37" min="36" style="98" width="9.7"/>
    <col collapsed="false" customWidth="true" hidden="false" outlineLevel="0" max="38" min="38" style="98" width="5.71"/>
    <col collapsed="false" customWidth="true" hidden="false" outlineLevel="0" max="40" min="39" style="98" width="9.7"/>
    <col collapsed="false" customWidth="true" hidden="false" outlineLevel="0" max="41" min="41" style="98" width="5.71"/>
    <col collapsed="false" customWidth="true" hidden="false" outlineLevel="0" max="43" min="42" style="98" width="9.7"/>
    <col collapsed="false" customWidth="false" hidden="false" outlineLevel="0" max="257" min="44" style="98" width="10.71"/>
  </cols>
  <sheetData>
    <row r="1" customFormat="false" ht="12.75" hidden="false" customHeight="false" outlineLevel="0" collapsed="false">
      <c r="A1" s="99" t="str">
        <f aca="false">BACKUP!A1</f>
        <v>'file:///mnt/12tb/@roms/datasets/enron/EDRM Enron Email Data Set v2 XML/filtered-attachments/xls/NNG3rdCECF.xls'#$BACKUP</v>
      </c>
      <c r="B1" s="100"/>
      <c r="C1" s="100"/>
      <c r="D1" s="100"/>
      <c r="E1" s="100"/>
      <c r="F1" s="100"/>
      <c r="G1" s="100"/>
      <c r="H1" s="100"/>
      <c r="I1" s="101" t="str">
        <f aca="false">BACKUP!F1</f>
        <v>NORTHERN NATURAL GAS GROUP</v>
      </c>
      <c r="J1" s="101"/>
      <c r="K1" s="101"/>
      <c r="L1" s="101"/>
      <c r="M1" s="100"/>
      <c r="N1" s="100"/>
      <c r="O1" s="100"/>
      <c r="P1" s="100"/>
      <c r="Q1" s="100"/>
      <c r="R1" s="100"/>
      <c r="S1" s="100"/>
      <c r="T1" s="100"/>
      <c r="U1" s="100"/>
      <c r="V1" s="102" t="n">
        <f aca="true">NOW()</f>
        <v>45926.9494834614</v>
      </c>
      <c r="W1" s="103"/>
      <c r="X1" s="103"/>
      <c r="Y1" s="103"/>
      <c r="Z1" s="103"/>
      <c r="AA1" s="104" t="str">
        <f aca="false">A1</f>
        <v>'file:///mnt/12tb/@roms/datasets/enron/EDRM Enron Email Data Set v2 XML/filtered-attachments/xls/NNG3rdCECF.xls'#$BACKUP</v>
      </c>
      <c r="AB1" s="100"/>
      <c r="AC1" s="100"/>
      <c r="AD1" s="105" t="str">
        <f aca="false">I1</f>
        <v>NORTHERN NATURAL GAS GROUP</v>
      </c>
      <c r="AE1" s="105"/>
      <c r="AF1" s="105"/>
      <c r="AG1" s="105"/>
      <c r="AH1" s="105"/>
      <c r="AI1" s="100"/>
      <c r="AJ1" s="100"/>
      <c r="AK1" s="106"/>
      <c r="AL1" s="100"/>
      <c r="AM1" s="100"/>
      <c r="AN1" s="103"/>
      <c r="AO1" s="103"/>
      <c r="AP1" s="103"/>
      <c r="AQ1" s="102" t="n">
        <f aca="true">NOW()</f>
        <v>45926.9494834615</v>
      </c>
      <c r="AR1" s="103"/>
      <c r="AS1" s="103"/>
      <c r="AT1" s="103"/>
      <c r="AU1" s="103"/>
    </row>
    <row r="2" customFormat="false" ht="12.75" hidden="false" customHeight="false" outlineLevel="0" collapsed="false">
      <c r="A2" s="107" t="s">
        <v>451</v>
      </c>
      <c r="B2" s="100"/>
      <c r="C2" s="100"/>
      <c r="D2" s="100"/>
      <c r="E2" s="100"/>
      <c r="F2" s="100"/>
      <c r="G2" s="100"/>
      <c r="H2" s="100"/>
      <c r="I2" s="108" t="s">
        <v>452</v>
      </c>
      <c r="J2" s="108"/>
      <c r="K2" s="108"/>
      <c r="L2" s="108"/>
      <c r="M2" s="100"/>
      <c r="N2" s="100"/>
      <c r="O2" s="100"/>
      <c r="P2" s="100"/>
      <c r="Q2" s="100"/>
      <c r="R2" s="100"/>
      <c r="S2" s="100"/>
      <c r="T2" s="100"/>
      <c r="U2" s="100"/>
      <c r="V2" s="109" t="n">
        <f aca="true">NOW()</f>
        <v>45926.9494834615</v>
      </c>
      <c r="W2" s="103"/>
      <c r="X2" s="103"/>
      <c r="Y2" s="103"/>
      <c r="Z2" s="103"/>
      <c r="AA2" s="107" t="s">
        <v>453</v>
      </c>
      <c r="AB2" s="100"/>
      <c r="AC2" s="100"/>
      <c r="AD2" s="105" t="str">
        <f aca="false">I2</f>
        <v>CASH FLOW STATEMENT</v>
      </c>
      <c r="AE2" s="105"/>
      <c r="AF2" s="105"/>
      <c r="AG2" s="105"/>
      <c r="AH2" s="105"/>
      <c r="AI2" s="100"/>
      <c r="AJ2" s="100"/>
      <c r="AK2" s="110"/>
      <c r="AL2" s="100"/>
      <c r="AM2" s="100"/>
      <c r="AN2" s="103"/>
      <c r="AO2" s="103"/>
      <c r="AP2" s="103"/>
      <c r="AQ2" s="109" t="n">
        <f aca="true">NOW()</f>
        <v>45926.9494834616</v>
      </c>
      <c r="AR2" s="103"/>
      <c r="AS2" s="103"/>
      <c r="AT2" s="103"/>
      <c r="AU2" s="103"/>
    </row>
    <row r="3" customFormat="false" ht="12.75" hidden="false" customHeight="false" outlineLevel="0" collapsed="false">
      <c r="A3" s="110"/>
      <c r="B3" s="100"/>
      <c r="C3" s="100"/>
      <c r="D3" s="100"/>
      <c r="E3" s="100"/>
      <c r="F3" s="100"/>
      <c r="G3" s="100"/>
      <c r="H3" s="100"/>
      <c r="I3" s="101" t="str">
        <f aca="false">BACKUP!F3</f>
        <v>2001 ACTUAL / ESTIMATE</v>
      </c>
      <c r="J3" s="101"/>
      <c r="K3" s="101"/>
      <c r="L3" s="101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3"/>
      <c r="X3" s="103"/>
      <c r="Y3" s="103"/>
      <c r="Z3" s="103"/>
      <c r="AA3" s="110"/>
      <c r="AB3" s="100"/>
      <c r="AC3" s="100"/>
      <c r="AD3" s="105" t="str">
        <f aca="false">I3</f>
        <v>2001 ACTUAL / ESTIMATE</v>
      </c>
      <c r="AE3" s="105"/>
      <c r="AF3" s="105"/>
      <c r="AG3" s="105"/>
      <c r="AH3" s="105"/>
      <c r="AI3" s="100"/>
      <c r="AJ3" s="100"/>
      <c r="AK3" s="100"/>
      <c r="AL3" s="100"/>
      <c r="AM3" s="100"/>
      <c r="AN3" s="100"/>
      <c r="AO3" s="103"/>
      <c r="AP3" s="103"/>
      <c r="AQ3" s="103"/>
      <c r="AR3" s="103"/>
      <c r="AS3" s="103"/>
      <c r="AT3" s="103"/>
      <c r="AU3" s="103"/>
    </row>
    <row r="4" customFormat="false" ht="12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1" t="str">
        <f aca="false">BACKUP!F4</f>
        <v>(Thousands of Dollars)</v>
      </c>
      <c r="J4" s="101"/>
      <c r="K4" s="101"/>
      <c r="L4" s="101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3"/>
      <c r="X4" s="103"/>
      <c r="Y4" s="103"/>
      <c r="Z4" s="103"/>
      <c r="AA4" s="100"/>
      <c r="AB4" s="100"/>
      <c r="AC4" s="100"/>
      <c r="AD4" s="105" t="str">
        <f aca="false">I4</f>
        <v>(Thousands of Dollars)</v>
      </c>
      <c r="AE4" s="105"/>
      <c r="AF4" s="105"/>
      <c r="AG4" s="105"/>
      <c r="AH4" s="105"/>
      <c r="AI4" s="100"/>
      <c r="AJ4" s="100"/>
      <c r="AK4" s="100"/>
      <c r="AL4" s="100"/>
      <c r="AM4" s="100"/>
      <c r="AN4" s="100"/>
      <c r="AO4" s="103"/>
      <c r="AP4" s="103"/>
      <c r="AQ4" s="103"/>
      <c r="AR4" s="103"/>
      <c r="AS4" s="103"/>
      <c r="AT4" s="103"/>
      <c r="AU4" s="103"/>
    </row>
    <row r="5" customFormat="false" ht="12.75" hidden="false" customHeight="false" outlineLevel="0" collapsed="false">
      <c r="A5" s="100"/>
      <c r="B5" s="100"/>
      <c r="C5" s="100"/>
      <c r="D5" s="111" t="n">
        <f aca="false">BACKUP!D6</f>
        <v>0</v>
      </c>
      <c r="E5" s="111" t="n">
        <f aca="false">BACKUP!E6</f>
        <v>0</v>
      </c>
      <c r="F5" s="111" t="n">
        <f aca="false">BACKUP!F6</f>
        <v>0</v>
      </c>
      <c r="G5" s="111" t="n">
        <f aca="false">BACKUP!G6</f>
        <v>0</v>
      </c>
      <c r="H5" s="111" t="n">
        <f aca="false">BACKUP!H6</f>
        <v>0</v>
      </c>
      <c r="I5" s="111" t="n">
        <f aca="false">BACKUP!I6</f>
        <v>0</v>
      </c>
      <c r="J5" s="111" t="n">
        <f aca="false">BACKUP!J6</f>
        <v>0</v>
      </c>
      <c r="K5" s="111" t="str">
        <f aca="false">BACKUP!K6</f>
        <v>PRE</v>
      </c>
      <c r="L5" s="111" t="n">
        <f aca="false">BACKUP!L6</f>
        <v>0</v>
      </c>
      <c r="M5" s="111" t="n">
        <f aca="false">BACKUP!M6</f>
        <v>0</v>
      </c>
      <c r="N5" s="111" t="n">
        <f aca="false">BACKUP!N6</f>
        <v>0</v>
      </c>
      <c r="O5" s="111" t="n">
        <f aca="false">BACKUP!O6</f>
        <v>0</v>
      </c>
      <c r="P5" s="112"/>
      <c r="Q5" s="100"/>
      <c r="R5" s="112"/>
      <c r="S5" s="100"/>
      <c r="T5" s="113"/>
      <c r="U5" s="100"/>
      <c r="V5" s="114" t="n">
        <f aca="false">T5</f>
        <v>0</v>
      </c>
      <c r="W5" s="103"/>
      <c r="X5" s="103"/>
      <c r="Y5" s="103"/>
      <c r="Z5" s="103"/>
      <c r="AA5" s="100"/>
      <c r="AB5" s="100"/>
      <c r="AC5" s="100"/>
      <c r="AD5" s="100"/>
      <c r="AE5" s="100"/>
      <c r="AF5" s="114" t="n">
        <f aca="false">T5</f>
        <v>0</v>
      </c>
      <c r="AG5" s="100"/>
      <c r="AH5" s="114" t="n">
        <f aca="false">V5</f>
        <v>0</v>
      </c>
      <c r="AI5" s="100"/>
      <c r="AJ5" s="115"/>
      <c r="AK5" s="114" t="n">
        <f aca="false">T5</f>
        <v>0</v>
      </c>
      <c r="AL5" s="100"/>
      <c r="AM5" s="115"/>
      <c r="AN5" s="116"/>
      <c r="AO5" s="103"/>
      <c r="AP5" s="117"/>
      <c r="AQ5" s="118"/>
      <c r="AR5" s="103"/>
      <c r="AS5" s="103"/>
      <c r="AT5" s="103"/>
      <c r="AU5" s="103"/>
    </row>
    <row r="6" customFormat="false" ht="12.75" hidden="false" customHeight="false" outlineLevel="0" collapsed="false">
      <c r="A6" s="100"/>
      <c r="B6" s="100"/>
      <c r="C6" s="100"/>
      <c r="D6" s="111" t="str">
        <f aca="false">BACKUP!D7</f>
        <v>ACT.</v>
      </c>
      <c r="E6" s="111" t="str">
        <f aca="false">BACKUP!E7</f>
        <v>ACT.</v>
      </c>
      <c r="F6" s="111" t="str">
        <f aca="false">BACKUP!F7</f>
        <v>ACT.</v>
      </c>
      <c r="G6" s="111" t="str">
        <f aca="false">BACKUP!G7</f>
        <v>ACT.</v>
      </c>
      <c r="H6" s="111" t="str">
        <f aca="false">BACKUP!H7</f>
        <v>ACT.</v>
      </c>
      <c r="I6" s="111" t="str">
        <f aca="false">BACKUP!I7</f>
        <v>ACT.</v>
      </c>
      <c r="J6" s="111" t="str">
        <f aca="false">BACKUP!J7</f>
        <v>ACT.</v>
      </c>
      <c r="K6" s="111" t="str">
        <f aca="false">BACKUP!K7</f>
        <v>ACT.</v>
      </c>
      <c r="L6" s="111" t="str">
        <f aca="false">BACKUP!L7</f>
        <v>3rd CE</v>
      </c>
      <c r="M6" s="111" t="str">
        <f aca="false">BACKUP!M7</f>
        <v>3rd CE</v>
      </c>
      <c r="N6" s="111" t="str">
        <f aca="false">BACKUP!N7</f>
        <v>3rd CE</v>
      </c>
      <c r="O6" s="111" t="str">
        <f aca="false">BACKUP!O7</f>
        <v>3rd CE</v>
      </c>
      <c r="P6" s="111" t="str">
        <f aca="false">BACKUP!P7</f>
        <v>TOTAL</v>
      </c>
      <c r="Q6" s="119" t="s">
        <v>10</v>
      </c>
      <c r="R6" s="111" t="str">
        <f aca="false">BACKUP!R7</f>
        <v>ESTIMATED</v>
      </c>
      <c r="S6" s="116"/>
      <c r="T6" s="119" t="s">
        <v>454</v>
      </c>
      <c r="U6" s="119" t="s">
        <v>455</v>
      </c>
      <c r="V6" s="114" t="str">
        <f aca="false">T6</f>
        <v>PLAN</v>
      </c>
      <c r="W6" s="103"/>
      <c r="X6" s="103"/>
      <c r="Y6" s="103"/>
      <c r="Z6" s="103"/>
      <c r="AA6" s="100"/>
      <c r="AB6" s="114" t="str">
        <f aca="false">P6</f>
        <v>TOTAL</v>
      </c>
      <c r="AC6" s="119" t="s">
        <v>455</v>
      </c>
      <c r="AD6" s="120" t="str">
        <f aca="false">R6</f>
        <v>ESTIMATED</v>
      </c>
      <c r="AE6" s="100"/>
      <c r="AF6" s="114" t="str">
        <f aca="false">T6</f>
        <v>PLAN</v>
      </c>
      <c r="AG6" s="120" t="str">
        <f aca="false">U6</f>
        <v>SEPT.</v>
      </c>
      <c r="AH6" s="114" t="str">
        <f aca="false">V6</f>
        <v>PLAN</v>
      </c>
      <c r="AI6" s="100"/>
      <c r="AJ6" s="121" t="s">
        <v>456</v>
      </c>
      <c r="AK6" s="121"/>
      <c r="AL6" s="100"/>
      <c r="AM6" s="122" t="s">
        <v>457</v>
      </c>
      <c r="AN6" s="122"/>
      <c r="AO6" s="103"/>
      <c r="AP6" s="123" t="s">
        <v>458</v>
      </c>
      <c r="AQ6" s="123"/>
      <c r="AR6" s="103"/>
      <c r="AS6" s="103"/>
      <c r="AT6" s="103"/>
      <c r="AU6" s="103"/>
    </row>
    <row r="7" customFormat="false" ht="12.95" hidden="false" customHeight="true" outlineLevel="0" collapsed="false">
      <c r="A7" s="100"/>
      <c r="B7" s="100"/>
      <c r="C7" s="100"/>
      <c r="D7" s="124" t="str">
        <f aca="false">BACKUP!D8</f>
        <v>JAN</v>
      </c>
      <c r="E7" s="124" t="str">
        <f aca="false">BACKUP!E8</f>
        <v>FEB</v>
      </c>
      <c r="F7" s="124" t="str">
        <f aca="false">BACKUP!F8</f>
        <v>MAR</v>
      </c>
      <c r="G7" s="124" t="str">
        <f aca="false">BACKUP!G8</f>
        <v>APR</v>
      </c>
      <c r="H7" s="124" t="str">
        <f aca="false">BACKUP!H8</f>
        <v>MAY</v>
      </c>
      <c r="I7" s="124" t="str">
        <f aca="false">BACKUP!I8</f>
        <v>JUN</v>
      </c>
      <c r="J7" s="124" t="str">
        <f aca="false">BACKUP!J8</f>
        <v>JUL</v>
      </c>
      <c r="K7" s="124" t="str">
        <f aca="false">BACKUP!K8</f>
        <v>AUG</v>
      </c>
      <c r="L7" s="124" t="str">
        <f aca="false">BACKUP!L8</f>
        <v>SEP</v>
      </c>
      <c r="M7" s="124" t="str">
        <f aca="false">BACKUP!M8</f>
        <v>OCT</v>
      </c>
      <c r="N7" s="124" t="str">
        <f aca="false">BACKUP!N8</f>
        <v>NOV</v>
      </c>
      <c r="O7" s="124" t="str">
        <f aca="false">BACKUP!O8</f>
        <v>DEC</v>
      </c>
      <c r="P7" s="124" t="n">
        <f aca="false">BACKUP!P8</f>
        <v>2001</v>
      </c>
      <c r="Q7" s="124" t="str">
        <f aca="false">BACKUP!Q8</f>
        <v>Y-T-D</v>
      </c>
      <c r="R7" s="124" t="str">
        <f aca="false">BACKUP!R8</f>
        <v>R.M.</v>
      </c>
      <c r="S7" s="116"/>
      <c r="T7" s="125" t="n">
        <f aca="false">P7</f>
        <v>2001</v>
      </c>
      <c r="U7" s="125" t="str">
        <f aca="false">Q7</f>
        <v>Y-T-D</v>
      </c>
      <c r="V7" s="125" t="str">
        <f aca="false">R7</f>
        <v>R.M.</v>
      </c>
      <c r="W7" s="103"/>
      <c r="X7" s="103"/>
      <c r="Y7" s="103"/>
      <c r="Z7" s="103"/>
      <c r="AA7" s="100"/>
      <c r="AB7" s="125" t="n">
        <f aca="false">P7</f>
        <v>2001</v>
      </c>
      <c r="AC7" s="126" t="str">
        <f aca="false">Q7</f>
        <v>Y-T-D</v>
      </c>
      <c r="AD7" s="126" t="str">
        <f aca="false">R7</f>
        <v>R.M.</v>
      </c>
      <c r="AE7" s="100"/>
      <c r="AF7" s="125" t="n">
        <f aca="false">T7</f>
        <v>2001</v>
      </c>
      <c r="AG7" s="126" t="str">
        <f aca="false">AC7</f>
        <v>Y-T-D</v>
      </c>
      <c r="AH7" s="125" t="str">
        <f aca="false">V7</f>
        <v>R.M.</v>
      </c>
      <c r="AI7" s="100"/>
      <c r="AJ7" s="126" t="str">
        <f aca="false">AC7</f>
        <v>Y-T-D</v>
      </c>
      <c r="AK7" s="127" t="s">
        <v>459</v>
      </c>
      <c r="AL7" s="116"/>
      <c r="AM7" s="125" t="str">
        <f aca="false">AK7</f>
        <v>ANNUAL</v>
      </c>
      <c r="AN7" s="127" t="s">
        <v>460</v>
      </c>
      <c r="AO7" s="103"/>
      <c r="AP7" s="128" t="s">
        <v>457</v>
      </c>
      <c r="AQ7" s="126" t="str">
        <f aca="false">AN7</f>
        <v>Variance</v>
      </c>
      <c r="AR7" s="103"/>
      <c r="AS7" s="103"/>
      <c r="AT7" s="103"/>
      <c r="AU7" s="103"/>
    </row>
    <row r="8" customFormat="false" ht="12.75" hidden="false" customHeight="false" outlineLevel="0" collapsed="false">
      <c r="A8" s="129" t="s">
        <v>461</v>
      </c>
      <c r="B8" s="103"/>
      <c r="C8" s="103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0" t="str">
        <f aca="false">A8</f>
        <v>CASH FLOW FROM OPERATING ACTIVITIES</v>
      </c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31"/>
      <c r="AN8" s="103"/>
      <c r="AO8" s="103"/>
      <c r="AP8" s="131"/>
      <c r="AQ8" s="103"/>
      <c r="AR8" s="103"/>
      <c r="AS8" s="103"/>
      <c r="AT8" s="103"/>
      <c r="AU8" s="103"/>
    </row>
    <row r="9" customFormat="false" ht="12.75" hidden="false" customHeight="false" outlineLevel="0" collapsed="false">
      <c r="A9" s="132" t="s">
        <v>462</v>
      </c>
      <c r="B9" s="103"/>
      <c r="C9" s="103"/>
      <c r="D9" s="133" t="n">
        <f aca="false">BACKUP!D491+BACKUP!D492+BACKUP!D493+BACKUP!D498-1</f>
        <v>19634</v>
      </c>
      <c r="E9" s="130" t="n">
        <f aca="false">BACKUP!E491+BACKUP!E492+BACKUP!E493+BACKUP!E498</f>
        <v>18785</v>
      </c>
      <c r="F9" s="133" t="n">
        <f aca="false">BACKUP!F491+BACKUP!F492+BACKUP!F493+BACKUP!F498+4978</f>
        <v>17695</v>
      </c>
      <c r="G9" s="133" t="n">
        <f aca="false">BACKUP!G491+BACKUP!G492+BACKUP!G493+BACKUP!G498-4</f>
        <v>3079</v>
      </c>
      <c r="H9" s="133" t="n">
        <f aca="false">BACKUP!H491+BACKUP!H492+BACKUP!H493+BACKUP!H498+3</f>
        <v>992</v>
      </c>
      <c r="I9" s="130" t="n">
        <f aca="false">BACKUP!I491+BACKUP!I492+BACKUP!I493+BACKUP!I498</f>
        <v>2966</v>
      </c>
      <c r="J9" s="130" t="n">
        <f aca="false">BACKUP!J491+BACKUP!J492+BACKUP!J493+BACKUP!J498</f>
        <v>1548</v>
      </c>
      <c r="K9" s="130" t="n">
        <f aca="false">BACKUP!K491+BACKUP!K492+BACKUP!K493+BACKUP!K498</f>
        <v>2474</v>
      </c>
      <c r="L9" s="130" t="n">
        <f aca="false">BACKUP!L491+BACKUP!L492+BACKUP!L493+BACKUP!L498</f>
        <v>646</v>
      </c>
      <c r="M9" s="130" t="n">
        <f aca="false">BACKUP!M491+BACKUP!M492+BACKUP!M493+BACKUP!M498</f>
        <v>-1185</v>
      </c>
      <c r="N9" s="130" t="n">
        <f aca="false">BACKUP!N491+BACKUP!N492+BACKUP!N493+BACKUP!N498</f>
        <v>16351</v>
      </c>
      <c r="O9" s="130" t="n">
        <f aca="false">BACKUP!O491+BACKUP!O492+BACKUP!O493+BACKUP!O498</f>
        <v>16756</v>
      </c>
      <c r="P9" s="130" t="n">
        <f aca="false">SUM(D9:O9)</f>
        <v>99741</v>
      </c>
      <c r="Q9" s="131" t="n">
        <f aca="false">SUM(D9:J9)</f>
        <v>64699</v>
      </c>
      <c r="R9" s="130" t="n">
        <f aca="false">P9-Q9</f>
        <v>35042</v>
      </c>
      <c r="S9" s="103"/>
      <c r="T9" s="131" t="n">
        <v>101324</v>
      </c>
      <c r="U9" s="131" t="n">
        <v>64319</v>
      </c>
      <c r="V9" s="130" t="n">
        <f aca="false">T9-U9</f>
        <v>37005</v>
      </c>
      <c r="W9" s="103"/>
      <c r="X9" s="130"/>
      <c r="Y9" s="130"/>
      <c r="Z9" s="103"/>
      <c r="AA9" s="103" t="str">
        <f aca="false">A9</f>
        <v>   Net Income </v>
      </c>
      <c r="AB9" s="130" t="n">
        <f aca="false">P9</f>
        <v>99741</v>
      </c>
      <c r="AC9" s="131" t="n">
        <f aca="false">SUM(D9:L9)</f>
        <v>67819</v>
      </c>
      <c r="AD9" s="130" t="n">
        <f aca="false">AB9-AC9</f>
        <v>31922</v>
      </c>
      <c r="AE9" s="103"/>
      <c r="AF9" s="130" t="n">
        <f aca="false">T9</f>
        <v>101324</v>
      </c>
      <c r="AG9" s="130" t="n">
        <f aca="false">U9</f>
        <v>64319</v>
      </c>
      <c r="AH9" s="130" t="n">
        <f aca="false">AF9-AG9</f>
        <v>37005</v>
      </c>
      <c r="AI9" s="103"/>
      <c r="AJ9" s="130" t="n">
        <f aca="false">AC9-AG9</f>
        <v>3500</v>
      </c>
      <c r="AK9" s="130" t="n">
        <f aca="false">AB9-AF9</f>
        <v>-1583</v>
      </c>
      <c r="AL9" s="103"/>
      <c r="AM9" s="131" t="n">
        <v>104819</v>
      </c>
      <c r="AN9" s="130" t="n">
        <f aca="false">AB9-AM9</f>
        <v>-5078</v>
      </c>
      <c r="AO9" s="103"/>
      <c r="AP9" s="131" t="n">
        <v>66848</v>
      </c>
      <c r="AQ9" s="130" t="n">
        <f aca="false">AC9-AP9</f>
        <v>971</v>
      </c>
      <c r="AR9" s="103"/>
      <c r="AS9" s="103"/>
      <c r="AT9" s="103"/>
      <c r="AU9" s="103"/>
    </row>
    <row r="10" customFormat="false" ht="12.75" hidden="false" customHeight="false" outlineLevel="0" collapsed="false">
      <c r="A10" s="132" t="s">
        <v>463</v>
      </c>
      <c r="B10" s="103"/>
      <c r="C10" s="103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03"/>
      <c r="Q10" s="134"/>
      <c r="R10" s="103"/>
      <c r="S10" s="103"/>
      <c r="T10" s="131"/>
      <c r="U10" s="131"/>
      <c r="V10" s="103"/>
      <c r="W10" s="103"/>
      <c r="X10" s="103"/>
      <c r="Y10" s="103"/>
      <c r="Z10" s="103"/>
      <c r="AA10" s="103" t="str">
        <f aca="false">A10</f>
        <v>   Items not affecting Working Capital:</v>
      </c>
      <c r="AB10" s="103"/>
      <c r="AC10" s="103"/>
      <c r="AD10" s="103"/>
      <c r="AE10" s="103"/>
      <c r="AF10" s="103"/>
      <c r="AG10" s="131"/>
      <c r="AH10" s="103"/>
      <c r="AI10" s="103"/>
      <c r="AJ10" s="103"/>
      <c r="AK10" s="103"/>
      <c r="AL10" s="103"/>
      <c r="AM10" s="131"/>
      <c r="AN10" s="103"/>
      <c r="AO10" s="103"/>
      <c r="AP10" s="131"/>
      <c r="AQ10" s="103"/>
      <c r="AR10" s="103"/>
      <c r="AS10" s="103"/>
      <c r="AT10" s="103"/>
      <c r="AU10" s="103"/>
    </row>
    <row r="11" customFormat="false" ht="12.75" hidden="false" customHeight="false" outlineLevel="0" collapsed="false">
      <c r="A11" s="132" t="s">
        <v>464</v>
      </c>
      <c r="B11" s="103"/>
      <c r="C11" s="103"/>
      <c r="D11" s="135" t="n">
        <f aca="false">D280+D279-BACKUP!D119</f>
        <v>3841</v>
      </c>
      <c r="E11" s="135" t="n">
        <f aca="false">E280+E279-BACKUP!E119</f>
        <v>3853</v>
      </c>
      <c r="F11" s="135" t="n">
        <f aca="false">F280+F279-BACKUP!F119</f>
        <v>3900</v>
      </c>
      <c r="G11" s="133" t="n">
        <f aca="false">G280+G279-BACKUP!G119+1</f>
        <v>3811</v>
      </c>
      <c r="H11" s="135" t="n">
        <f aca="false">H280+H279-BACKUP!H119</f>
        <v>3755</v>
      </c>
      <c r="I11" s="135" t="n">
        <f aca="false">I280+I279-BACKUP!I119</f>
        <v>3999</v>
      </c>
      <c r="J11" s="135" t="n">
        <f aca="false">J280+J279-BACKUP!J119</f>
        <v>3851</v>
      </c>
      <c r="K11" s="135" t="n">
        <f aca="false">K280+K279-BACKUP!K119</f>
        <v>3855</v>
      </c>
      <c r="L11" s="135" t="n">
        <f aca="false">L280+L279-BACKUP!L119</f>
        <v>3900</v>
      </c>
      <c r="M11" s="135" t="n">
        <f aca="false">M280+M279-BACKUP!M119</f>
        <v>5200</v>
      </c>
      <c r="N11" s="135" t="n">
        <f aca="false">N280+N279-BACKUP!N119</f>
        <v>3950</v>
      </c>
      <c r="O11" s="135" t="n">
        <f aca="false">O280+O279-BACKUP!O119</f>
        <v>4000</v>
      </c>
      <c r="P11" s="130" t="n">
        <f aca="false">SUM(D11:O11)</f>
        <v>47915</v>
      </c>
      <c r="Q11" s="131" t="n">
        <f aca="false">SUM(D11:J11)</f>
        <v>27010</v>
      </c>
      <c r="R11" s="130" t="n">
        <f aca="false">P11-Q11</f>
        <v>20905</v>
      </c>
      <c r="S11" s="103"/>
      <c r="T11" s="131" t="n">
        <v>49600</v>
      </c>
      <c r="U11" s="131" t="n">
        <v>37947</v>
      </c>
      <c r="V11" s="130" t="n">
        <f aca="false">T11-U11</f>
        <v>11653</v>
      </c>
      <c r="W11" s="103"/>
      <c r="X11" s="130"/>
      <c r="Y11" s="130"/>
      <c r="Z11" s="103"/>
      <c r="AA11" s="103" t="str">
        <f aca="false">A11</f>
        <v>      Depreciation and Amortization</v>
      </c>
      <c r="AB11" s="130" t="n">
        <f aca="false">P11</f>
        <v>47915</v>
      </c>
      <c r="AC11" s="131" t="n">
        <f aca="false">SUM(D11:L11)</f>
        <v>34765</v>
      </c>
      <c r="AD11" s="130" t="n">
        <f aca="false">AB11-AC11</f>
        <v>13150</v>
      </c>
      <c r="AE11" s="103"/>
      <c r="AF11" s="130" t="n">
        <f aca="false">T11</f>
        <v>49600</v>
      </c>
      <c r="AG11" s="130" t="n">
        <f aca="false">U11</f>
        <v>37947</v>
      </c>
      <c r="AH11" s="130" t="n">
        <f aca="false">AF11-AG11</f>
        <v>11653</v>
      </c>
      <c r="AI11" s="103"/>
      <c r="AJ11" s="130" t="n">
        <f aca="false">AC11-AG11</f>
        <v>-3182</v>
      </c>
      <c r="AK11" s="130" t="n">
        <f aca="false">AB11-AF11</f>
        <v>-1685</v>
      </c>
      <c r="AL11" s="103"/>
      <c r="AM11" s="131" t="n">
        <v>48059</v>
      </c>
      <c r="AN11" s="130" t="n">
        <f aca="false">AB11-AM11</f>
        <v>-144</v>
      </c>
      <c r="AO11" s="103"/>
      <c r="AP11" s="131" t="n">
        <v>35159</v>
      </c>
      <c r="AQ11" s="130" t="n">
        <f aca="false">AC11-AP11</f>
        <v>-394</v>
      </c>
      <c r="AR11" s="103"/>
      <c r="AS11" s="103"/>
      <c r="AT11" s="103"/>
      <c r="AU11" s="103"/>
    </row>
    <row r="12" customFormat="false" ht="12.75" hidden="false" customHeight="false" outlineLevel="0" collapsed="false">
      <c r="A12" s="132" t="s">
        <v>465</v>
      </c>
      <c r="B12" s="103"/>
      <c r="C12" s="103"/>
      <c r="D12" s="130" t="n">
        <f aca="false">-D292-D293</f>
        <v>-0</v>
      </c>
      <c r="E12" s="130" t="n">
        <f aca="false">-E292-E293</f>
        <v>-0</v>
      </c>
      <c r="F12" s="130" t="n">
        <f aca="false">-F292-F293</f>
        <v>-0</v>
      </c>
      <c r="G12" s="130" t="n">
        <f aca="false">-G292-G293</f>
        <v>-0</v>
      </c>
      <c r="H12" s="130" t="n">
        <f aca="false">-H292-H293</f>
        <v>-0</v>
      </c>
      <c r="I12" s="130" t="n">
        <f aca="false">-I292-I293</f>
        <v>-0</v>
      </c>
      <c r="J12" s="130" t="n">
        <f aca="false">-J292-J293</f>
        <v>-0</v>
      </c>
      <c r="K12" s="130" t="n">
        <f aca="false">-K292-K293</f>
        <v>-0</v>
      </c>
      <c r="L12" s="130" t="n">
        <f aca="false">-L292-L293</f>
        <v>-0</v>
      </c>
      <c r="M12" s="130" t="n">
        <f aca="false">-M292-M293</f>
        <v>-0</v>
      </c>
      <c r="N12" s="130" t="n">
        <f aca="false">-N292-N293</f>
        <v>-0</v>
      </c>
      <c r="O12" s="130" t="n">
        <f aca="false">-O292-O293</f>
        <v>-0</v>
      </c>
      <c r="P12" s="130" t="n">
        <f aca="false">SUM(D12:O12)</f>
        <v>0</v>
      </c>
      <c r="Q12" s="131" t="n">
        <f aca="false">SUM(D12:J12)</f>
        <v>0</v>
      </c>
      <c r="R12" s="130" t="n">
        <f aca="false">P12-Q12</f>
        <v>0</v>
      </c>
      <c r="S12" s="103"/>
      <c r="T12" s="131" t="n">
        <v>0</v>
      </c>
      <c r="U12" s="131" t="n">
        <v>0</v>
      </c>
      <c r="V12" s="130" t="n">
        <f aca="false">T12-U12</f>
        <v>0</v>
      </c>
      <c r="W12" s="103"/>
      <c r="X12" s="130"/>
      <c r="Y12" s="130"/>
      <c r="Z12" s="103"/>
      <c r="AA12" s="103" t="str">
        <f aca="false">A12</f>
        <v>      Regulatory Amortization - TCR</v>
      </c>
      <c r="AB12" s="130" t="n">
        <f aca="false">P12</f>
        <v>0</v>
      </c>
      <c r="AC12" s="131" t="n">
        <f aca="false">SUM(D12:L12)</f>
        <v>0</v>
      </c>
      <c r="AD12" s="130" t="n">
        <f aca="false">AB12-AC12</f>
        <v>0</v>
      </c>
      <c r="AE12" s="103"/>
      <c r="AF12" s="130" t="n">
        <f aca="false">T12</f>
        <v>0</v>
      </c>
      <c r="AG12" s="130" t="n">
        <f aca="false">U12</f>
        <v>0</v>
      </c>
      <c r="AH12" s="130" t="n">
        <f aca="false">AF12-AG12</f>
        <v>0</v>
      </c>
      <c r="AI12" s="103"/>
      <c r="AJ12" s="130" t="n">
        <f aca="false">AC12-AG12</f>
        <v>0</v>
      </c>
      <c r="AK12" s="130" t="n">
        <f aca="false">AB12-AF12</f>
        <v>0</v>
      </c>
      <c r="AL12" s="103"/>
      <c r="AM12" s="131" t="n">
        <v>0</v>
      </c>
      <c r="AN12" s="130" t="n">
        <f aca="false">AB12-AM12</f>
        <v>0</v>
      </c>
      <c r="AO12" s="103"/>
      <c r="AP12" s="131" t="n">
        <v>0</v>
      </c>
      <c r="AQ12" s="130" t="n">
        <f aca="false">AC12-AP12</f>
        <v>0</v>
      </c>
      <c r="AR12" s="103"/>
      <c r="AS12" s="103"/>
      <c r="AT12" s="103"/>
      <c r="AU12" s="103"/>
    </row>
    <row r="13" customFormat="false" ht="12.75" hidden="false" customHeight="false" outlineLevel="0" collapsed="false">
      <c r="A13" s="132" t="s">
        <v>466</v>
      </c>
      <c r="B13" s="103"/>
      <c r="C13" s="103"/>
      <c r="D13" s="130" t="n">
        <f aca="false">BACKUP!D388+BACKUP!D378</f>
        <v>3262</v>
      </c>
      <c r="E13" s="133" t="n">
        <f aca="false">BACKUP!E388+BACKUP!E378-1</f>
        <v>150</v>
      </c>
      <c r="F13" s="133" t="n">
        <f aca="false">BACKUP!F388+BACKUP!F378+65</f>
        <v>-1147</v>
      </c>
      <c r="G13" s="133" t="n">
        <f aca="false">BACKUP!G388+BACKUP!G378-1</f>
        <v>23341</v>
      </c>
      <c r="H13" s="130" t="n">
        <f aca="false">BACKUP!H388+BACKUP!H378</f>
        <v>1575</v>
      </c>
      <c r="I13" s="133" t="n">
        <f aca="false">BACKUP!I388+BACKUP!I378+2</f>
        <v>-2983</v>
      </c>
      <c r="J13" s="130" t="n">
        <f aca="false">BACKUP!J388+BACKUP!J378</f>
        <v>860</v>
      </c>
      <c r="K13" s="130" t="n">
        <f aca="false">BACKUP!K388+BACKUP!K378</f>
        <v>3339</v>
      </c>
      <c r="L13" s="130" t="n">
        <f aca="false">BACKUP!L388+BACKUP!L378</f>
        <v>2207</v>
      </c>
      <c r="M13" s="130" t="n">
        <f aca="false">BACKUP!M388+BACKUP!M378</f>
        <v>-11814</v>
      </c>
      <c r="N13" s="130" t="n">
        <f aca="false">BACKUP!N388+BACKUP!N378</f>
        <v>-1321</v>
      </c>
      <c r="O13" s="130" t="n">
        <f aca="false">BACKUP!O388+BACKUP!O378</f>
        <v>659</v>
      </c>
      <c r="P13" s="130" t="n">
        <f aca="false">SUM(D13:O13)</f>
        <v>18128</v>
      </c>
      <c r="Q13" s="131" t="n">
        <f aca="false">SUM(D13:J13)</f>
        <v>25058</v>
      </c>
      <c r="R13" s="130" t="n">
        <f aca="false">P13-Q13</f>
        <v>-6930</v>
      </c>
      <c r="S13" s="103"/>
      <c r="T13" s="131" t="n">
        <v>7119</v>
      </c>
      <c r="U13" s="131" t="n">
        <v>6786</v>
      </c>
      <c r="V13" s="130" t="n">
        <f aca="false">T13-U13</f>
        <v>333</v>
      </c>
      <c r="W13" s="103"/>
      <c r="X13" s="130"/>
      <c r="Y13" s="130"/>
      <c r="Z13" s="103"/>
      <c r="AA13" s="103" t="str">
        <f aca="false">A13</f>
        <v>      Deferred Income Taxes - Both Current and Noncurrent </v>
      </c>
      <c r="AB13" s="130" t="n">
        <f aca="false">P13</f>
        <v>18128</v>
      </c>
      <c r="AC13" s="131" t="n">
        <f aca="false">SUM(D13:L13)</f>
        <v>30604</v>
      </c>
      <c r="AD13" s="130" t="n">
        <f aca="false">AB13-AC13</f>
        <v>-12476</v>
      </c>
      <c r="AE13" s="103"/>
      <c r="AF13" s="130" t="n">
        <f aca="false">T13</f>
        <v>7119</v>
      </c>
      <c r="AG13" s="130" t="n">
        <f aca="false">U13</f>
        <v>6786</v>
      </c>
      <c r="AH13" s="130" t="n">
        <f aca="false">AF13-AG13</f>
        <v>333</v>
      </c>
      <c r="AI13" s="103"/>
      <c r="AJ13" s="130" t="n">
        <f aca="false">AC13-AG13</f>
        <v>23818</v>
      </c>
      <c r="AK13" s="130" t="n">
        <f aca="false">AB13-AF13</f>
        <v>11009</v>
      </c>
      <c r="AL13" s="103"/>
      <c r="AM13" s="131" t="n">
        <v>16432</v>
      </c>
      <c r="AN13" s="130" t="n">
        <f aca="false">AB13-AM13</f>
        <v>1696</v>
      </c>
      <c r="AO13" s="103"/>
      <c r="AP13" s="131" t="n">
        <v>28314</v>
      </c>
      <c r="AQ13" s="130" t="n">
        <f aca="false">AC13-AP13</f>
        <v>2290</v>
      </c>
      <c r="AR13" s="103"/>
      <c r="AS13" s="103"/>
      <c r="AT13" s="103"/>
      <c r="AU13" s="103"/>
    </row>
    <row r="14" customFormat="false" ht="3.95" hidden="false" customHeight="true" outlineLevel="0" collapsed="false">
      <c r="A14" s="11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customFormat="false" ht="12.75" hidden="false" customHeight="false" outlineLevel="0" collapsed="false">
      <c r="A15" s="132" t="s">
        <v>467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31"/>
      <c r="R15" s="103"/>
      <c r="S15" s="103"/>
      <c r="T15" s="131"/>
      <c r="U15" s="131"/>
      <c r="V15" s="103"/>
      <c r="W15" s="103"/>
      <c r="X15" s="103"/>
      <c r="Y15" s="103"/>
      <c r="Z15" s="103"/>
      <c r="AA15" s="103" t="str">
        <f aca="false">A15</f>
        <v>   Working Capital Changes:</v>
      </c>
      <c r="AB15" s="103"/>
      <c r="AC15" s="103"/>
      <c r="AD15" s="103"/>
      <c r="AE15" s="103"/>
      <c r="AF15" s="103"/>
      <c r="AG15" s="131"/>
      <c r="AH15" s="103"/>
      <c r="AI15" s="103"/>
      <c r="AJ15" s="103"/>
      <c r="AK15" s="103"/>
      <c r="AL15" s="103"/>
      <c r="AM15" s="131"/>
      <c r="AN15" s="103"/>
      <c r="AO15" s="103"/>
      <c r="AP15" s="131"/>
      <c r="AQ15" s="103"/>
      <c r="AR15" s="103"/>
      <c r="AS15" s="103"/>
      <c r="AT15" s="103"/>
      <c r="AU15" s="103"/>
    </row>
    <row r="16" customFormat="false" ht="12.75" hidden="false" customHeight="false" outlineLevel="0" collapsed="false">
      <c r="A16" s="132" t="s">
        <v>468</v>
      </c>
      <c r="B16" s="103"/>
      <c r="C16" s="103"/>
      <c r="D16" s="133" t="n">
        <f aca="false">-BACKUP!D35+2</f>
        <v>-3895</v>
      </c>
      <c r="E16" s="133" t="n">
        <f aca="false">-BACKUP!E35-3</f>
        <v>2983</v>
      </c>
      <c r="F16" s="133" t="n">
        <f aca="false">-BACKUP!F35-3</f>
        <v>-15954</v>
      </c>
      <c r="G16" s="133" t="n">
        <f aca="false">-BACKUP!G35+4</f>
        <v>16452</v>
      </c>
      <c r="H16" s="133" t="n">
        <f aca="false">-BACKUP!H35-2</f>
        <v>10501</v>
      </c>
      <c r="I16" s="136" t="n">
        <f aca="false">-BACKUP!I35-108</f>
        <v>-6396</v>
      </c>
      <c r="J16" s="136" t="n">
        <f aca="false">-BACKUP!J35+450</f>
        <v>7293</v>
      </c>
      <c r="K16" s="136" t="n">
        <f aca="false">-BACKUP!K35-315</f>
        <v>-286</v>
      </c>
      <c r="L16" s="130" t="n">
        <f aca="false">-BACKUP!L35</f>
        <v>1749</v>
      </c>
      <c r="M16" s="130" t="n">
        <f aca="false">-BACKUP!M35</f>
        <v>619</v>
      </c>
      <c r="N16" s="130" t="n">
        <f aca="false">-BACKUP!N35</f>
        <v>-28987</v>
      </c>
      <c r="O16" s="130" t="n">
        <f aca="false">-BACKUP!O35</f>
        <v>-1198</v>
      </c>
      <c r="P16" s="130" t="n">
        <f aca="false">SUM(D16:O16)</f>
        <v>-17119</v>
      </c>
      <c r="Q16" s="131" t="n">
        <f aca="false">SUM(D16:J16)</f>
        <v>10984</v>
      </c>
      <c r="R16" s="130" t="n">
        <f aca="false">P16-Q16</f>
        <v>-28103</v>
      </c>
      <c r="S16" s="103"/>
      <c r="T16" s="131" t="n">
        <v>497</v>
      </c>
      <c r="U16" s="131" t="n">
        <v>29620</v>
      </c>
      <c r="V16" s="130" t="n">
        <f aca="false">T16-U16</f>
        <v>-29123</v>
      </c>
      <c r="W16" s="103"/>
      <c r="X16" s="130"/>
      <c r="Y16" s="130"/>
      <c r="Z16" s="103"/>
      <c r="AA16" s="103" t="str">
        <f aca="false">A16</f>
        <v>      Accounts and Notes Receivable - Trade Only (6/01 Forward)</v>
      </c>
      <c r="AB16" s="130" t="n">
        <f aca="false">P16</f>
        <v>-17119</v>
      </c>
      <c r="AC16" s="131" t="n">
        <f aca="false">SUM(D16:L16)</f>
        <v>12447</v>
      </c>
      <c r="AD16" s="130" t="n">
        <f aca="false">AB16-AC16</f>
        <v>-29566</v>
      </c>
      <c r="AE16" s="103"/>
      <c r="AF16" s="130" t="n">
        <f aca="false">T16</f>
        <v>497</v>
      </c>
      <c r="AG16" s="130" t="n">
        <f aca="false">U16</f>
        <v>29620</v>
      </c>
      <c r="AH16" s="130" t="n">
        <f aca="false">AF16-AG16</f>
        <v>-29123</v>
      </c>
      <c r="AI16" s="103"/>
      <c r="AJ16" s="130" t="n">
        <f aca="false">AC16-AG16</f>
        <v>-17173</v>
      </c>
      <c r="AK16" s="130" t="n">
        <f aca="false">AB16-AF16</f>
        <v>-17616</v>
      </c>
      <c r="AL16" s="103"/>
      <c r="AM16" s="131" t="n">
        <v>-16979</v>
      </c>
      <c r="AN16" s="130" t="n">
        <f aca="false">AB16-AM16</f>
        <v>-140</v>
      </c>
      <c r="AO16" s="103"/>
      <c r="AP16" s="131" t="n">
        <v>13364</v>
      </c>
      <c r="AQ16" s="130" t="n">
        <f aca="false">AC16-AP16</f>
        <v>-917</v>
      </c>
      <c r="AR16" s="103"/>
      <c r="AS16" s="103"/>
      <c r="AT16" s="103"/>
      <c r="AU16" s="103"/>
    </row>
    <row r="17" customFormat="false" ht="12.75" hidden="false" customHeight="false" outlineLevel="0" collapsed="false">
      <c r="A17" s="132" t="s">
        <v>469</v>
      </c>
      <c r="B17" s="103"/>
      <c r="C17" s="103"/>
      <c r="D17" s="130" t="n">
        <f aca="false">-BACKUP!D51-BACKUP!D58</f>
        <v>5</v>
      </c>
      <c r="E17" s="130" t="n">
        <f aca="false">-BACKUP!E51-BACKUP!E58</f>
        <v>3</v>
      </c>
      <c r="F17" s="130" t="n">
        <f aca="false">-BACKUP!F51-BACKUP!F58</f>
        <v>1261</v>
      </c>
      <c r="G17" s="130" t="n">
        <f aca="false">-BACKUP!G51-BACKUP!G58</f>
        <v>10</v>
      </c>
      <c r="H17" s="130" t="n">
        <f aca="false">-BACKUP!H51-BACKUP!H58</f>
        <v>197</v>
      </c>
      <c r="I17" s="130" t="n">
        <f aca="false">-BACKUP!I51-BACKUP!I58</f>
        <v>17</v>
      </c>
      <c r="J17" s="130" t="n">
        <f aca="false">-BACKUP!J51-BACKUP!J58</f>
        <v>-1</v>
      </c>
      <c r="K17" s="130" t="n">
        <f aca="false">-BACKUP!K51-BACKUP!K58</f>
        <v>-0</v>
      </c>
      <c r="L17" s="130" t="n">
        <f aca="false">-BACKUP!L51-BACKUP!L58</f>
        <v>-0</v>
      </c>
      <c r="M17" s="130" t="n">
        <f aca="false">-BACKUP!M51-BACKUP!M58</f>
        <v>-0</v>
      </c>
      <c r="N17" s="130" t="n">
        <f aca="false">-BACKUP!N51-BACKUP!N58</f>
        <v>-0</v>
      </c>
      <c r="O17" s="130" t="n">
        <f aca="false">-BACKUP!O51-BACKUP!O58</f>
        <v>-0</v>
      </c>
      <c r="P17" s="130" t="n">
        <f aca="false">SUM(D17:O17)</f>
        <v>1492</v>
      </c>
      <c r="Q17" s="131" t="n">
        <f aca="false">SUM(D17:J17)</f>
        <v>1492</v>
      </c>
      <c r="R17" s="130" t="n">
        <f aca="false">P17-Q17</f>
        <v>0</v>
      </c>
      <c r="S17" s="103"/>
      <c r="T17" s="131" t="n">
        <v>0</v>
      </c>
      <c r="U17" s="131" t="n">
        <v>0</v>
      </c>
      <c r="V17" s="130" t="n">
        <f aca="false">T17-U17</f>
        <v>0</v>
      </c>
      <c r="W17" s="103"/>
      <c r="X17" s="130"/>
      <c r="Y17" s="130"/>
      <c r="Z17" s="103"/>
      <c r="AA17" s="103" t="str">
        <f aca="false">A17</f>
        <v>      Inventories</v>
      </c>
      <c r="AB17" s="130" t="n">
        <f aca="false">P17</f>
        <v>1492</v>
      </c>
      <c r="AC17" s="131" t="n">
        <f aca="false">SUM(D17:L17)</f>
        <v>1492</v>
      </c>
      <c r="AD17" s="130" t="n">
        <f aca="false">AB17-AC17</f>
        <v>0</v>
      </c>
      <c r="AE17" s="103"/>
      <c r="AF17" s="130" t="n">
        <f aca="false">T17</f>
        <v>0</v>
      </c>
      <c r="AG17" s="130" t="n">
        <f aca="false">U17</f>
        <v>0</v>
      </c>
      <c r="AH17" s="130" t="n">
        <f aca="false">AF17-AG17</f>
        <v>0</v>
      </c>
      <c r="AI17" s="103"/>
      <c r="AJ17" s="130" t="n">
        <f aca="false">AC17-AG17</f>
        <v>1492</v>
      </c>
      <c r="AK17" s="130" t="n">
        <f aca="false">AB17-AF17</f>
        <v>1492</v>
      </c>
      <c r="AL17" s="103"/>
      <c r="AM17" s="131" t="n">
        <v>1493</v>
      </c>
      <c r="AN17" s="130" t="n">
        <f aca="false">AB17-AM17</f>
        <v>-1</v>
      </c>
      <c r="AO17" s="103"/>
      <c r="AP17" s="131" t="n">
        <v>1493</v>
      </c>
      <c r="AQ17" s="130" t="n">
        <f aca="false">AC17-AP17</f>
        <v>-1</v>
      </c>
      <c r="AR17" s="103"/>
      <c r="AS17" s="103"/>
      <c r="AT17" s="103"/>
      <c r="AU17" s="103"/>
    </row>
    <row r="18" customFormat="false" ht="12.75" hidden="false" customHeight="false" outlineLevel="0" collapsed="false">
      <c r="A18" s="132" t="s">
        <v>470</v>
      </c>
      <c r="B18" s="103"/>
      <c r="C18" s="103"/>
      <c r="D18" s="130" t="n">
        <f aca="false">BACKUP!D301</f>
        <v>20507</v>
      </c>
      <c r="E18" s="133" t="n">
        <f aca="false">BACKUP!E301+2</f>
        <v>-39369</v>
      </c>
      <c r="F18" s="130" t="n">
        <f aca="false">BACKUP!F301</f>
        <v>11743</v>
      </c>
      <c r="G18" s="130" t="n">
        <f aca="false">BACKUP!G301</f>
        <v>-13632</v>
      </c>
      <c r="H18" s="130" t="n">
        <f aca="false">BACKUP!H301</f>
        <v>-301</v>
      </c>
      <c r="I18" s="136" t="n">
        <f aca="false">BACKUP!I301-1230</f>
        <v>172</v>
      </c>
      <c r="J18" s="136" t="n">
        <f aca="false">BACKUP!J301+234</f>
        <v>1530</v>
      </c>
      <c r="K18" s="136" t="n">
        <f aca="false">BACKUP!K301-250</f>
        <v>208</v>
      </c>
      <c r="L18" s="130" t="n">
        <f aca="false">BACKUP!L301</f>
        <v>17</v>
      </c>
      <c r="M18" s="130" t="n">
        <f aca="false">BACKUP!M301</f>
        <v>0</v>
      </c>
      <c r="N18" s="130" t="n">
        <f aca="false">BACKUP!N301</f>
        <v>0</v>
      </c>
      <c r="O18" s="130" t="n">
        <f aca="false">BACKUP!O301</f>
        <v>731</v>
      </c>
      <c r="P18" s="130" t="n">
        <f aca="false">SUM(D18:O18)</f>
        <v>-18394</v>
      </c>
      <c r="Q18" s="131" t="n">
        <f aca="false">SUM(D18:J18)</f>
        <v>-19350</v>
      </c>
      <c r="R18" s="130" t="n">
        <f aca="false">P18-Q18</f>
        <v>956</v>
      </c>
      <c r="S18" s="103"/>
      <c r="T18" s="131" t="n">
        <v>-16</v>
      </c>
      <c r="U18" s="131" t="n">
        <v>-6445</v>
      </c>
      <c r="V18" s="130" t="n">
        <f aca="false">T18-U18</f>
        <v>6429</v>
      </c>
      <c r="W18" s="103"/>
      <c r="X18" s="130"/>
      <c r="Y18" s="130"/>
      <c r="Z18" s="103"/>
      <c r="AA18" s="103" t="str">
        <f aca="false">A18</f>
        <v>      Accounts Payable - Trade Only (6/01 Forward)</v>
      </c>
      <c r="AB18" s="130" t="n">
        <f aca="false">P18</f>
        <v>-18394</v>
      </c>
      <c r="AC18" s="131" t="n">
        <f aca="false">SUM(D18:L18)</f>
        <v>-19125</v>
      </c>
      <c r="AD18" s="130" t="n">
        <f aca="false">AB18-AC18</f>
        <v>731</v>
      </c>
      <c r="AE18" s="103"/>
      <c r="AF18" s="130" t="n">
        <f aca="false">T18</f>
        <v>-16</v>
      </c>
      <c r="AG18" s="130" t="n">
        <f aca="false">U18</f>
        <v>-6445</v>
      </c>
      <c r="AH18" s="130" t="n">
        <f aca="false">AF18-AG18</f>
        <v>6429</v>
      </c>
      <c r="AI18" s="103"/>
      <c r="AJ18" s="130" t="n">
        <f aca="false">AC18-AG18</f>
        <v>-12680</v>
      </c>
      <c r="AK18" s="130" t="n">
        <f aca="false">AB18-AF18</f>
        <v>-18378</v>
      </c>
      <c r="AL18" s="103"/>
      <c r="AM18" s="131" t="n">
        <v>-19576</v>
      </c>
      <c r="AN18" s="130" t="n">
        <f aca="false">AB18-AM18</f>
        <v>1182</v>
      </c>
      <c r="AO18" s="103"/>
      <c r="AP18" s="131" t="n">
        <v>-20307</v>
      </c>
      <c r="AQ18" s="130" t="n">
        <f aca="false">AC18-AP18</f>
        <v>1182</v>
      </c>
      <c r="AR18" s="103"/>
      <c r="AS18" s="103"/>
      <c r="AT18" s="103"/>
      <c r="AU18" s="103"/>
    </row>
    <row r="19" customFormat="false" ht="12.75" hidden="false" customHeight="false" outlineLevel="0" collapsed="false">
      <c r="A19" s="132" t="s">
        <v>471</v>
      </c>
      <c r="B19" s="103"/>
      <c r="C19" s="103"/>
      <c r="D19" s="137" t="n">
        <f aca="false">BACKUP!D319</f>
        <v>0</v>
      </c>
      <c r="E19" s="137" t="n">
        <f aca="false">BACKUP!E319</f>
        <v>0</v>
      </c>
      <c r="F19" s="130" t="n">
        <f aca="false">BACKUP!F319</f>
        <v>0</v>
      </c>
      <c r="G19" s="130" t="n">
        <f aca="false">BACKUP!G319</f>
        <v>0</v>
      </c>
      <c r="H19" s="130" t="n">
        <f aca="false">BACKUP!H319</f>
        <v>0</v>
      </c>
      <c r="I19" s="130" t="n">
        <f aca="false">BACKUP!I319</f>
        <v>0</v>
      </c>
      <c r="J19" s="130" t="n">
        <f aca="false">BACKUP!J319</f>
        <v>0</v>
      </c>
      <c r="K19" s="130" t="n">
        <f aca="false">BACKUP!K319</f>
        <v>3301</v>
      </c>
      <c r="L19" s="130" t="n">
        <f aca="false">BACKUP!L319</f>
        <v>1933</v>
      </c>
      <c r="M19" s="130" t="n">
        <f aca="false">BACKUP!M319</f>
        <v>-3995</v>
      </c>
      <c r="N19" s="130" t="n">
        <f aca="false">BACKUP!N319</f>
        <v>-5941</v>
      </c>
      <c r="O19" s="130" t="n">
        <f aca="false">BACKUP!O319</f>
        <v>-1862</v>
      </c>
      <c r="P19" s="130" t="n">
        <f aca="false">SUM(D19:O19)</f>
        <v>-6564</v>
      </c>
      <c r="Q19" s="131" t="n">
        <f aca="false">SUM(D19:J19)</f>
        <v>0</v>
      </c>
      <c r="R19" s="130" t="n">
        <f aca="false">P19-Q19</f>
        <v>-6564</v>
      </c>
      <c r="S19" s="103"/>
      <c r="T19" s="131" t="n">
        <v>-13405</v>
      </c>
      <c r="U19" s="131" t="n">
        <v>-7109</v>
      </c>
      <c r="V19" s="130" t="n">
        <f aca="false">T19-U19</f>
        <v>-6296</v>
      </c>
      <c r="W19" s="103"/>
      <c r="X19" s="130"/>
      <c r="Y19" s="130"/>
      <c r="Z19" s="103"/>
      <c r="AA19" s="103" t="str">
        <f aca="false">A19</f>
        <v>                    - Other</v>
      </c>
      <c r="AB19" s="130" t="n">
        <f aca="false">P19</f>
        <v>-6564</v>
      </c>
      <c r="AC19" s="131" t="n">
        <f aca="false">SUM(D19:L19)</f>
        <v>5234</v>
      </c>
      <c r="AD19" s="130" t="n">
        <f aca="false">AB19-AC19</f>
        <v>-11798</v>
      </c>
      <c r="AE19" s="103"/>
      <c r="AF19" s="130" t="n">
        <f aca="false">T19</f>
        <v>-13405</v>
      </c>
      <c r="AG19" s="130" t="n">
        <f aca="false">U19</f>
        <v>-7109</v>
      </c>
      <c r="AH19" s="130" t="n">
        <f aca="false">AF19-AG19</f>
        <v>-6296</v>
      </c>
      <c r="AI19" s="103"/>
      <c r="AJ19" s="130" t="n">
        <f aca="false">AC19-AG19</f>
        <v>12343</v>
      </c>
      <c r="AK19" s="130" t="n">
        <f aca="false">AB19-AF19</f>
        <v>6841</v>
      </c>
      <c r="AL19" s="103"/>
      <c r="AM19" s="131" t="n">
        <v>-6198</v>
      </c>
      <c r="AN19" s="130" t="n">
        <f aca="false">AB19-AM19</f>
        <v>-366</v>
      </c>
      <c r="AO19" s="103"/>
      <c r="AP19" s="131" t="n">
        <v>938</v>
      </c>
      <c r="AQ19" s="130" t="n">
        <f aca="false">AC19-AP19</f>
        <v>4296</v>
      </c>
      <c r="AR19" s="103"/>
      <c r="AS19" s="103"/>
      <c r="AT19" s="103"/>
      <c r="AU19" s="103"/>
    </row>
    <row r="20" customFormat="false" ht="12.75" hidden="false" customHeight="false" outlineLevel="0" collapsed="false">
      <c r="A20" s="132" t="s">
        <v>472</v>
      </c>
      <c r="B20" s="103"/>
      <c r="C20" s="103"/>
      <c r="D20" s="133" t="n">
        <v>0</v>
      </c>
      <c r="E20" s="133" t="n">
        <v>0</v>
      </c>
      <c r="F20" s="133" t="n">
        <v>0</v>
      </c>
      <c r="G20" s="133" t="n">
        <v>0</v>
      </c>
      <c r="H20" s="133" t="n">
        <v>0</v>
      </c>
      <c r="I20" s="133" t="n">
        <v>0</v>
      </c>
      <c r="J20" s="133" t="n">
        <v>0</v>
      </c>
      <c r="K20" s="133" t="n">
        <v>0</v>
      </c>
      <c r="L20" s="133" t="n">
        <v>0</v>
      </c>
      <c r="M20" s="133" t="n">
        <v>0</v>
      </c>
      <c r="N20" s="133" t="n">
        <v>0</v>
      </c>
      <c r="O20" s="133" t="n">
        <v>0</v>
      </c>
      <c r="P20" s="130" t="n">
        <f aca="false">SUM(D20:O20)</f>
        <v>0</v>
      </c>
      <c r="Q20" s="131" t="n">
        <f aca="false">SUM(D20:J20)</f>
        <v>0</v>
      </c>
      <c r="R20" s="130" t="n">
        <f aca="false">P20-Q20</f>
        <v>0</v>
      </c>
      <c r="S20" s="103"/>
      <c r="T20" s="131" t="n">
        <v>0</v>
      </c>
      <c r="U20" s="131" t="n">
        <v>0</v>
      </c>
      <c r="V20" s="130" t="n">
        <f aca="false">T20-U20</f>
        <v>0</v>
      </c>
      <c r="W20" s="103"/>
      <c r="X20" s="130"/>
      <c r="Y20" s="130"/>
      <c r="Z20" s="103"/>
      <c r="AA20" s="103" t="str">
        <f aca="false">A20</f>
        <v>      Over / (Under) Recovered Gas Cost</v>
      </c>
      <c r="AB20" s="130" t="n">
        <f aca="false">P20</f>
        <v>0</v>
      </c>
      <c r="AC20" s="131" t="n">
        <f aca="false">SUM(D20:L20)</f>
        <v>0</v>
      </c>
      <c r="AD20" s="130" t="n">
        <f aca="false">AB20-AC20</f>
        <v>0</v>
      </c>
      <c r="AE20" s="103"/>
      <c r="AF20" s="130" t="n">
        <f aca="false">T20</f>
        <v>0</v>
      </c>
      <c r="AG20" s="130" t="n">
        <f aca="false">U20</f>
        <v>0</v>
      </c>
      <c r="AH20" s="130" t="n">
        <f aca="false">AF20-AG20</f>
        <v>0</v>
      </c>
      <c r="AI20" s="103"/>
      <c r="AJ20" s="130" t="n">
        <f aca="false">AC20-AG20</f>
        <v>0</v>
      </c>
      <c r="AK20" s="130" t="n">
        <f aca="false">AB20-AF20</f>
        <v>0</v>
      </c>
      <c r="AL20" s="103"/>
      <c r="AM20" s="131" t="n">
        <v>0</v>
      </c>
      <c r="AN20" s="130" t="n">
        <f aca="false">AB20-AM20</f>
        <v>0</v>
      </c>
      <c r="AO20" s="103"/>
      <c r="AP20" s="131" t="n">
        <v>0</v>
      </c>
      <c r="AQ20" s="130" t="n">
        <f aca="false">AC20-AP20</f>
        <v>0</v>
      </c>
      <c r="AR20" s="103"/>
      <c r="AS20" s="103"/>
      <c r="AT20" s="103"/>
      <c r="AU20" s="103"/>
    </row>
    <row r="21" customFormat="false" ht="12.75" hidden="false" customHeight="false" outlineLevel="0" collapsed="false">
      <c r="A21" s="132" t="s">
        <v>473</v>
      </c>
      <c r="B21" s="103"/>
      <c r="C21" s="103"/>
      <c r="D21" s="130" t="n">
        <f aca="false">-BACKUP!D65</f>
        <v>-2073</v>
      </c>
      <c r="E21" s="130" t="n">
        <f aca="false">-BACKUP!E65</f>
        <v>11020</v>
      </c>
      <c r="F21" s="130" t="n">
        <f aca="false">-BACKUP!F65</f>
        <v>9605</v>
      </c>
      <c r="G21" s="130" t="n">
        <f aca="false">-BACKUP!G65</f>
        <v>3747</v>
      </c>
      <c r="H21" s="130" t="n">
        <f aca="false">-BACKUP!H65</f>
        <v>5588</v>
      </c>
      <c r="I21" s="130" t="n">
        <f aca="false">-BACKUP!I65</f>
        <v>-5065</v>
      </c>
      <c r="J21" s="130" t="n">
        <f aca="false">-BACKUP!J65</f>
        <v>15728</v>
      </c>
      <c r="K21" s="130" t="n">
        <f aca="false">-BACKUP!K65</f>
        <v>-0</v>
      </c>
      <c r="L21" s="130" t="n">
        <f aca="false">-BACKUP!L65</f>
        <v>-0</v>
      </c>
      <c r="M21" s="130" t="n">
        <f aca="false">-BACKUP!M65</f>
        <v>-0</v>
      </c>
      <c r="N21" s="130" t="n">
        <f aca="false">-BACKUP!N65</f>
        <v>-0</v>
      </c>
      <c r="O21" s="130" t="n">
        <f aca="false">-BACKUP!O65</f>
        <v>-0</v>
      </c>
      <c r="P21" s="130" t="n">
        <f aca="false">SUM(D21:O21)</f>
        <v>38550</v>
      </c>
      <c r="Q21" s="131" t="n">
        <f aca="false">SUM(D21:J21)</f>
        <v>38550</v>
      </c>
      <c r="R21" s="130" t="n">
        <f aca="false">P21-Q21</f>
        <v>0</v>
      </c>
      <c r="S21" s="103"/>
      <c r="T21" s="131" t="n">
        <v>0</v>
      </c>
      <c r="U21" s="131" t="n">
        <v>0</v>
      </c>
      <c r="V21" s="130" t="n">
        <f aca="false">T21-U21</f>
        <v>0</v>
      </c>
      <c r="W21" s="103"/>
      <c r="X21" s="130"/>
      <c r="Y21" s="130"/>
      <c r="Z21" s="103"/>
      <c r="AA21" s="103" t="str">
        <f aca="false">A21</f>
        <v>      Exchange Gas - Receivable</v>
      </c>
      <c r="AB21" s="130" t="n">
        <f aca="false">P21</f>
        <v>38550</v>
      </c>
      <c r="AC21" s="131" t="n">
        <f aca="false">SUM(D21:L21)</f>
        <v>38550</v>
      </c>
      <c r="AD21" s="130" t="n">
        <f aca="false">AB21-AC21</f>
        <v>0</v>
      </c>
      <c r="AE21" s="103"/>
      <c r="AF21" s="130" t="n">
        <f aca="false">T21</f>
        <v>0</v>
      </c>
      <c r="AG21" s="130" t="n">
        <f aca="false">U21</f>
        <v>0</v>
      </c>
      <c r="AH21" s="130" t="n">
        <f aca="false">AF21-AG21</f>
        <v>0</v>
      </c>
      <c r="AI21" s="103"/>
      <c r="AJ21" s="130" t="n">
        <f aca="false">AC21-AG21</f>
        <v>38550</v>
      </c>
      <c r="AK21" s="130" t="n">
        <f aca="false">AB21-AF21</f>
        <v>38550</v>
      </c>
      <c r="AL21" s="103"/>
      <c r="AM21" s="131" t="n">
        <v>22822</v>
      </c>
      <c r="AN21" s="130" t="n">
        <f aca="false">AB21-AM21</f>
        <v>15728</v>
      </c>
      <c r="AO21" s="103"/>
      <c r="AP21" s="131" t="n">
        <v>22822</v>
      </c>
      <c r="AQ21" s="130" t="n">
        <f aca="false">AC21-AP21</f>
        <v>15728</v>
      </c>
      <c r="AR21" s="103"/>
      <c r="AS21" s="103"/>
      <c r="AT21" s="103"/>
      <c r="AU21" s="103"/>
    </row>
    <row r="22" customFormat="false" ht="12.75" hidden="false" customHeight="false" outlineLevel="0" collapsed="false">
      <c r="A22" s="132" t="s">
        <v>474</v>
      </c>
      <c r="B22" s="103"/>
      <c r="C22" s="103"/>
      <c r="D22" s="130" t="n">
        <f aca="false">+BACKUP!D343</f>
        <v>32344</v>
      </c>
      <c r="E22" s="130" t="n">
        <f aca="false">+BACKUP!E343</f>
        <v>-14459</v>
      </c>
      <c r="F22" s="130" t="n">
        <f aca="false">+BACKUP!F343</f>
        <v>-14880</v>
      </c>
      <c r="G22" s="130" t="n">
        <f aca="false">+BACKUP!G343</f>
        <v>2400</v>
      </c>
      <c r="H22" s="130" t="n">
        <f aca="false">+BACKUP!H343</f>
        <v>-8973</v>
      </c>
      <c r="I22" s="130" t="n">
        <f aca="false">+BACKUP!I343</f>
        <v>1080</v>
      </c>
      <c r="J22" s="130" t="n">
        <f aca="false">+BACKUP!J343</f>
        <v>-21767</v>
      </c>
      <c r="K22" s="130" t="n">
        <f aca="false">+BACKUP!K343</f>
        <v>0</v>
      </c>
      <c r="L22" s="130" t="n">
        <f aca="false">+BACKUP!L343</f>
        <v>0</v>
      </c>
      <c r="M22" s="130" t="n">
        <f aca="false">+BACKUP!M343</f>
        <v>0</v>
      </c>
      <c r="N22" s="130" t="n">
        <f aca="false">+BACKUP!N343</f>
        <v>0</v>
      </c>
      <c r="O22" s="130" t="n">
        <f aca="false">+BACKUP!O343</f>
        <v>0</v>
      </c>
      <c r="P22" s="130" t="n">
        <f aca="false">SUM(D22:O22)</f>
        <v>-24255</v>
      </c>
      <c r="Q22" s="131" t="n">
        <f aca="false">SUM(D22:J22)</f>
        <v>-24255</v>
      </c>
      <c r="R22" s="130" t="n">
        <f aca="false">P22-Q22</f>
        <v>0</v>
      </c>
      <c r="S22" s="103"/>
      <c r="T22" s="131" t="n">
        <v>0</v>
      </c>
      <c r="U22" s="131" t="n">
        <v>0</v>
      </c>
      <c r="V22" s="130" t="n">
        <f aca="false">T22-U22</f>
        <v>0</v>
      </c>
      <c r="W22" s="103"/>
      <c r="X22" s="130"/>
      <c r="Y22" s="130"/>
      <c r="Z22" s="103"/>
      <c r="AA22" s="103" t="str">
        <f aca="false">A22</f>
        <v>                    - Payable</v>
      </c>
      <c r="AB22" s="130" t="n">
        <f aca="false">P22</f>
        <v>-24255</v>
      </c>
      <c r="AC22" s="131" t="n">
        <f aca="false">SUM(D22:L22)</f>
        <v>-24255</v>
      </c>
      <c r="AD22" s="130" t="n">
        <f aca="false">AB22-AC22</f>
        <v>0</v>
      </c>
      <c r="AE22" s="103"/>
      <c r="AF22" s="130" t="n">
        <f aca="false">T22</f>
        <v>0</v>
      </c>
      <c r="AG22" s="130" t="n">
        <f aca="false">U22</f>
        <v>0</v>
      </c>
      <c r="AH22" s="130" t="n">
        <f aca="false">AF22-AG22</f>
        <v>0</v>
      </c>
      <c r="AI22" s="103"/>
      <c r="AJ22" s="130" t="n">
        <f aca="false">AC22-AG22</f>
        <v>-24255</v>
      </c>
      <c r="AK22" s="130" t="n">
        <f aca="false">AB22-AF22</f>
        <v>-24255</v>
      </c>
      <c r="AL22" s="103"/>
      <c r="AM22" s="131" t="n">
        <v>-2488</v>
      </c>
      <c r="AN22" s="130" t="n">
        <f aca="false">AB22-AM22</f>
        <v>-21767</v>
      </c>
      <c r="AO22" s="103"/>
      <c r="AP22" s="131" t="n">
        <v>-2488</v>
      </c>
      <c r="AQ22" s="130" t="n">
        <f aca="false">AC22-AP22</f>
        <v>-21767</v>
      </c>
      <c r="AR22" s="103"/>
      <c r="AS22" s="103"/>
      <c r="AT22" s="103"/>
      <c r="AU22" s="103"/>
    </row>
    <row r="23" customFormat="false" ht="12.75" hidden="false" customHeight="false" outlineLevel="0" collapsed="false">
      <c r="A23" s="132" t="s">
        <v>475</v>
      </c>
      <c r="B23" s="103"/>
      <c r="C23" s="103"/>
      <c r="D23" s="130" t="n">
        <f aca="false">-BACKUP!D74</f>
        <v>-0</v>
      </c>
      <c r="E23" s="130" t="n">
        <f aca="false">-BACKUP!E74</f>
        <v>-0</v>
      </c>
      <c r="F23" s="130" t="n">
        <f aca="false">-BACKUP!F74</f>
        <v>-0</v>
      </c>
      <c r="G23" s="130" t="n">
        <f aca="false">-BACKUP!G74</f>
        <v>-0</v>
      </c>
      <c r="H23" s="130" t="n">
        <f aca="false">-BACKUP!H74</f>
        <v>-0</v>
      </c>
      <c r="I23" s="130" t="n">
        <f aca="false">-BACKUP!I74</f>
        <v>-162</v>
      </c>
      <c r="J23" s="130" t="n">
        <f aca="false">-BACKUP!J74</f>
        <v>-0</v>
      </c>
      <c r="K23" s="130" t="n">
        <f aca="false">-BACKUP!K74</f>
        <v>-0</v>
      </c>
      <c r="L23" s="130" t="n">
        <f aca="false">-BACKUP!L74</f>
        <v>-0</v>
      </c>
      <c r="M23" s="130" t="n">
        <f aca="false">-BACKUP!M74</f>
        <v>-0</v>
      </c>
      <c r="N23" s="130" t="n">
        <f aca="false">-BACKUP!N74</f>
        <v>-0</v>
      </c>
      <c r="O23" s="130" t="n">
        <f aca="false">-BACKUP!O74</f>
        <v>-1080</v>
      </c>
      <c r="P23" s="130" t="n">
        <f aca="false">SUM(D23:O23)</f>
        <v>-1242</v>
      </c>
      <c r="Q23" s="131" t="n">
        <f aca="false">SUM(D23:J23)</f>
        <v>-162</v>
      </c>
      <c r="R23" s="130" t="n">
        <f aca="false">P23-Q23</f>
        <v>-1080</v>
      </c>
      <c r="S23" s="103"/>
      <c r="T23" s="131" t="n">
        <v>0</v>
      </c>
      <c r="U23" s="131" t="n">
        <v>810</v>
      </c>
      <c r="V23" s="130" t="n">
        <f aca="false">T23-U23</f>
        <v>-810</v>
      </c>
      <c r="W23" s="103"/>
      <c r="X23" s="130"/>
      <c r="Y23" s="130"/>
      <c r="Z23" s="103"/>
      <c r="AA23" s="103" t="str">
        <f aca="false">A23</f>
        <v>      Prepayments</v>
      </c>
      <c r="AB23" s="130" t="n">
        <f aca="false">P23</f>
        <v>-1242</v>
      </c>
      <c r="AC23" s="131" t="n">
        <f aca="false">SUM(D23:L23)</f>
        <v>-162</v>
      </c>
      <c r="AD23" s="130" t="n">
        <f aca="false">AB23-AC23</f>
        <v>-1080</v>
      </c>
      <c r="AE23" s="103"/>
      <c r="AF23" s="130" t="n">
        <f aca="false">T23</f>
        <v>0</v>
      </c>
      <c r="AG23" s="130" t="n">
        <f aca="false">U23</f>
        <v>810</v>
      </c>
      <c r="AH23" s="130" t="n">
        <f aca="false">AF23-AG23</f>
        <v>-810</v>
      </c>
      <c r="AI23" s="103"/>
      <c r="AJ23" s="130" t="n">
        <f aca="false">AC23-AG23</f>
        <v>-972</v>
      </c>
      <c r="AK23" s="130" t="n">
        <f aca="false">AB23-AF23</f>
        <v>-1242</v>
      </c>
      <c r="AL23" s="103"/>
      <c r="AM23" s="131" t="n">
        <v>-1080</v>
      </c>
      <c r="AN23" s="130" t="n">
        <f aca="false">AB23-AM23</f>
        <v>-162</v>
      </c>
      <c r="AO23" s="103"/>
      <c r="AP23" s="131" t="n">
        <v>0</v>
      </c>
      <c r="AQ23" s="130" t="n">
        <f aca="false">AC23-AP23</f>
        <v>-162</v>
      </c>
      <c r="AR23" s="103"/>
      <c r="AS23" s="103"/>
      <c r="AT23" s="103"/>
      <c r="AU23" s="103"/>
    </row>
    <row r="24" customFormat="false" ht="12.75" hidden="false" customHeight="false" outlineLevel="0" collapsed="false">
      <c r="A24" s="132" t="s">
        <v>476</v>
      </c>
      <c r="B24" s="103"/>
      <c r="C24" s="103"/>
      <c r="D24" s="130" t="n">
        <f aca="false">BACKUP!D398</f>
        <v>2875</v>
      </c>
      <c r="E24" s="130" t="n">
        <f aca="false">BACKUP!E398</f>
        <v>2875</v>
      </c>
      <c r="F24" s="130" t="n">
        <f aca="false">BACKUP!F398</f>
        <v>-2187</v>
      </c>
      <c r="G24" s="130" t="n">
        <f aca="false">BACKUP!G398</f>
        <v>2875</v>
      </c>
      <c r="H24" s="130" t="n">
        <f aca="false">BACKUP!H398</f>
        <v>-563</v>
      </c>
      <c r="I24" s="130" t="n">
        <f aca="false">BACKUP!I398</f>
        <v>-5875</v>
      </c>
      <c r="J24" s="130" t="n">
        <f aca="false">BACKUP!J398</f>
        <v>2875</v>
      </c>
      <c r="K24" s="130" t="n">
        <f aca="false">BACKUP!K398</f>
        <v>2875</v>
      </c>
      <c r="L24" s="130" t="n">
        <f aca="false">BACKUP!L398</f>
        <v>-2187</v>
      </c>
      <c r="M24" s="130" t="n">
        <f aca="false">BACKUP!M398</f>
        <v>2875</v>
      </c>
      <c r="N24" s="130" t="n">
        <f aca="false">BACKUP!N398</f>
        <v>-563</v>
      </c>
      <c r="O24" s="130" t="n">
        <f aca="false">BACKUP!O398</f>
        <v>-5875</v>
      </c>
      <c r="P24" s="130" t="n">
        <f aca="false">SUM(D24:O24)</f>
        <v>0</v>
      </c>
      <c r="Q24" s="131" t="n">
        <f aca="false">SUM(D24:J24)</f>
        <v>2875</v>
      </c>
      <c r="R24" s="130" t="n">
        <f aca="false">P24-Q24</f>
        <v>-2875</v>
      </c>
      <c r="S24" s="103"/>
      <c r="T24" s="131" t="n">
        <v>0</v>
      </c>
      <c r="U24" s="131" t="n">
        <v>3563</v>
      </c>
      <c r="V24" s="130" t="n">
        <f aca="false">T24-U24</f>
        <v>-3563</v>
      </c>
      <c r="W24" s="103"/>
      <c r="X24" s="103"/>
      <c r="Y24" s="103"/>
      <c r="Z24" s="103"/>
      <c r="AA24" s="103" t="str">
        <f aca="false">A24</f>
        <v>      Accrued Interest - Third Party</v>
      </c>
      <c r="AB24" s="130" t="n">
        <f aca="false">P24</f>
        <v>0</v>
      </c>
      <c r="AC24" s="131" t="n">
        <f aca="false">SUM(D24:L24)</f>
        <v>3563</v>
      </c>
      <c r="AD24" s="130" t="n">
        <f aca="false">AB24-AC24</f>
        <v>-3563</v>
      </c>
      <c r="AE24" s="103"/>
      <c r="AF24" s="130" t="n">
        <f aca="false">T24</f>
        <v>0</v>
      </c>
      <c r="AG24" s="130" t="n">
        <f aca="false">U24</f>
        <v>3563</v>
      </c>
      <c r="AH24" s="130" t="n">
        <f aca="false">AF24-AG24</f>
        <v>-3563</v>
      </c>
      <c r="AI24" s="103"/>
      <c r="AJ24" s="130" t="n">
        <f aca="false">AC24-AG24</f>
        <v>0</v>
      </c>
      <c r="AK24" s="130" t="n">
        <f aca="false">AB24-AF24</f>
        <v>0</v>
      </c>
      <c r="AL24" s="103"/>
      <c r="AM24" s="131" t="n">
        <v>0</v>
      </c>
      <c r="AN24" s="130" t="n">
        <f aca="false">AB24-AM24</f>
        <v>0</v>
      </c>
      <c r="AO24" s="103"/>
      <c r="AP24" s="131" t="n">
        <v>3563</v>
      </c>
      <c r="AQ24" s="130" t="n">
        <f aca="false">AC24-AP24</f>
        <v>0</v>
      </c>
      <c r="AR24" s="103"/>
      <c r="AS24" s="103"/>
      <c r="AT24" s="103"/>
      <c r="AU24" s="103"/>
    </row>
    <row r="25" customFormat="false" ht="12.75" hidden="false" customHeight="false" outlineLevel="0" collapsed="false">
      <c r="A25" s="132" t="s">
        <v>477</v>
      </c>
      <c r="B25" s="103"/>
      <c r="C25" s="103"/>
      <c r="D25" s="133" t="n">
        <f aca="false">BACKUP!D368-1</f>
        <v>-896</v>
      </c>
      <c r="E25" s="133" t="n">
        <f aca="false">BACKUP!E368+2</f>
        <v>4102</v>
      </c>
      <c r="F25" s="133" t="n">
        <f aca="false">BACKUP!F368-2</f>
        <v>-1420</v>
      </c>
      <c r="G25" s="133" t="n">
        <f aca="false">BACKUP!G368+2</f>
        <v>1757</v>
      </c>
      <c r="H25" s="130" t="n">
        <f aca="false">BACKUP!H368</f>
        <v>-3621</v>
      </c>
      <c r="I25" s="133" t="n">
        <f aca="false">BACKUP!I368-1</f>
        <v>-1874</v>
      </c>
      <c r="J25" s="130" t="n">
        <f aca="false">BACKUP!J368</f>
        <v>2393</v>
      </c>
      <c r="K25" s="130" t="n">
        <f aca="false">BACKUP!K368</f>
        <v>1781</v>
      </c>
      <c r="L25" s="130" t="n">
        <f aca="false">BACKUP!L368</f>
        <v>-558</v>
      </c>
      <c r="M25" s="130" t="n">
        <f aca="false">BACKUP!M368</f>
        <v>234</v>
      </c>
      <c r="N25" s="130" t="n">
        <f aca="false">BACKUP!N368</f>
        <v>1884</v>
      </c>
      <c r="O25" s="130" t="n">
        <f aca="false">BACKUP!O368</f>
        <v>-2829</v>
      </c>
      <c r="P25" s="130" t="n">
        <f aca="false">SUM(D25:O25)</f>
        <v>953</v>
      </c>
      <c r="Q25" s="131" t="n">
        <f aca="false">SUM(D25:J25)</f>
        <v>441</v>
      </c>
      <c r="R25" s="130" t="n">
        <f aca="false">P25-Q25</f>
        <v>512</v>
      </c>
      <c r="S25" s="103"/>
      <c r="T25" s="131" t="n">
        <v>-192</v>
      </c>
      <c r="U25" s="131" t="n">
        <v>568</v>
      </c>
      <c r="V25" s="130" t="n">
        <f aca="false">T25-U25</f>
        <v>-760</v>
      </c>
      <c r="W25" s="103"/>
      <c r="X25" s="130"/>
      <c r="Y25" s="130"/>
      <c r="Z25" s="103"/>
      <c r="AA25" s="103" t="str">
        <f aca="false">A25</f>
        <v>      Accrued Taxes, other than income</v>
      </c>
      <c r="AB25" s="130" t="n">
        <f aca="false">P25</f>
        <v>953</v>
      </c>
      <c r="AC25" s="131" t="n">
        <f aca="false">SUM(D25:L25)</f>
        <v>1664</v>
      </c>
      <c r="AD25" s="130" t="n">
        <f aca="false">AB25-AC25</f>
        <v>-711</v>
      </c>
      <c r="AE25" s="103"/>
      <c r="AF25" s="130" t="n">
        <f aca="false">T25</f>
        <v>-192</v>
      </c>
      <c r="AG25" s="130" t="n">
        <f aca="false">U25</f>
        <v>568</v>
      </c>
      <c r="AH25" s="130" t="n">
        <f aca="false">AF25-AG25</f>
        <v>-760</v>
      </c>
      <c r="AI25" s="103"/>
      <c r="AJ25" s="130" t="n">
        <f aca="false">AC25-AG25</f>
        <v>1096</v>
      </c>
      <c r="AK25" s="130" t="n">
        <f aca="false">AB25-AF25</f>
        <v>1145</v>
      </c>
      <c r="AL25" s="103"/>
      <c r="AM25" s="131" t="n">
        <v>590</v>
      </c>
      <c r="AN25" s="130" t="n">
        <f aca="false">AB25-AM25</f>
        <v>363</v>
      </c>
      <c r="AO25" s="103"/>
      <c r="AP25" s="131" t="n">
        <v>1301</v>
      </c>
      <c r="AQ25" s="130" t="n">
        <f aca="false">AC25-AP25</f>
        <v>363</v>
      </c>
      <c r="AR25" s="103"/>
      <c r="AS25" s="103"/>
      <c r="AT25" s="103"/>
      <c r="AU25" s="103"/>
    </row>
    <row r="26" customFormat="false" ht="12.75" hidden="false" customHeight="false" outlineLevel="0" collapsed="false">
      <c r="A26" s="132" t="s">
        <v>478</v>
      </c>
      <c r="B26" s="103"/>
      <c r="C26" s="103"/>
      <c r="D26" s="133" t="n">
        <f aca="false">-BACKUP!D99-BACKUP!D113+BACKUP!D418+BACKUP!D429-D330-1</f>
        <v>4098</v>
      </c>
      <c r="E26" s="133" t="n">
        <f aca="false">-BACKUP!E99-BACKUP!E113+BACKUP!E418+BACKUP!E429-E330+1</f>
        <v>-11222</v>
      </c>
      <c r="F26" s="138" t="n">
        <f aca="false">-BACKUP!F99-BACKUP!F113+BACKUP!F418+BACKUP!F429-F330</f>
        <v>5101</v>
      </c>
      <c r="G26" s="133" t="n">
        <f aca="false">-BACKUP!G99-BACKUP!G113+BACKUP!G418+BACKUP!G429-G330+11</f>
        <v>-1337</v>
      </c>
      <c r="H26" s="133" t="n">
        <f aca="false">-BACKUP!H99-BACKUP!H113+BACKUP!H418+BACKUP!H429-H330+7</f>
        <v>-2610</v>
      </c>
      <c r="I26" s="133" t="n">
        <f aca="false">-BACKUP!I99-BACKUP!I113+BACKUP!I418+BACKUP!I429-I330+2</f>
        <v>1071</v>
      </c>
      <c r="J26" s="133" t="n">
        <f aca="false">-BACKUP!J99-BACKUP!J113+BACKUP!J418+BACKUP!J429-J330+10</f>
        <v>-2670</v>
      </c>
      <c r="K26" s="138" t="n">
        <f aca="false">-BACKUP!K99-BACKUP!K113+BACKUP!K418+BACKUP!K429-K330</f>
        <v>485</v>
      </c>
      <c r="L26" s="138" t="n">
        <f aca="false">-BACKUP!L99-BACKUP!L113+BACKUP!L418+BACKUP!L429-L330</f>
        <v>-2382</v>
      </c>
      <c r="M26" s="138" t="n">
        <f aca="false">-BACKUP!M99-BACKUP!M113+BACKUP!M418+BACKUP!M429-M330</f>
        <v>596</v>
      </c>
      <c r="N26" s="138" t="n">
        <f aca="false">-BACKUP!N99-BACKUP!N113+BACKUP!N418+BACKUP!N429-N330</f>
        <v>1096</v>
      </c>
      <c r="O26" s="138" t="n">
        <f aca="false">-BACKUP!O99-BACKUP!O113+BACKUP!O418+BACKUP!O429-O330</f>
        <v>-9653</v>
      </c>
      <c r="P26" s="130" t="n">
        <f aca="false">SUM(D26:O26)</f>
        <v>-17427</v>
      </c>
      <c r="Q26" s="131" t="n">
        <f aca="false">SUM(D26:J26)</f>
        <v>-7569</v>
      </c>
      <c r="R26" s="130" t="n">
        <f aca="false">P26-Q26</f>
        <v>-9858</v>
      </c>
      <c r="S26" s="103"/>
      <c r="T26" s="131" t="n">
        <v>-7993</v>
      </c>
      <c r="U26" s="131" t="n">
        <v>-541</v>
      </c>
      <c r="V26" s="130" t="n">
        <f aca="false">T26-U26</f>
        <v>-7452</v>
      </c>
      <c r="W26" s="103"/>
      <c r="X26" s="130"/>
      <c r="Y26" s="130"/>
      <c r="Z26" s="103"/>
      <c r="AA26" s="103" t="str">
        <f aca="false">A26</f>
        <v>      Other Current Assets or Liabilities (W/O Reserve Activity)</v>
      </c>
      <c r="AB26" s="130" t="n">
        <f aca="false">P26</f>
        <v>-17427</v>
      </c>
      <c r="AC26" s="131" t="n">
        <f aca="false">SUM(D26:L26)</f>
        <v>-9466</v>
      </c>
      <c r="AD26" s="130" t="n">
        <f aca="false">AB26-AC26</f>
        <v>-7961</v>
      </c>
      <c r="AE26" s="103"/>
      <c r="AF26" s="130" t="n">
        <f aca="false">T26</f>
        <v>-7993</v>
      </c>
      <c r="AG26" s="130" t="n">
        <f aca="false">U26</f>
        <v>-541</v>
      </c>
      <c r="AH26" s="130" t="n">
        <f aca="false">AF26-AG26</f>
        <v>-7452</v>
      </c>
      <c r="AI26" s="103"/>
      <c r="AJ26" s="130" t="n">
        <f aca="false">AC26-AG26</f>
        <v>-8925</v>
      </c>
      <c r="AK26" s="130" t="n">
        <f aca="false">AB26-AF26</f>
        <v>-9434</v>
      </c>
      <c r="AL26" s="103"/>
      <c r="AM26" s="131" t="n">
        <v>-14305</v>
      </c>
      <c r="AN26" s="130" t="n">
        <f aca="false">AB26-AM26</f>
        <v>-3122</v>
      </c>
      <c r="AO26" s="103"/>
      <c r="AP26" s="131" t="n">
        <v>-6584</v>
      </c>
      <c r="AQ26" s="130" t="n">
        <f aca="false">AC26-AP26</f>
        <v>-2882</v>
      </c>
      <c r="AR26" s="103"/>
      <c r="AS26" s="103"/>
      <c r="AT26" s="103"/>
      <c r="AU26" s="103"/>
    </row>
    <row r="27" customFormat="false" ht="6" hidden="false" customHeight="true" outlineLevel="0" collapsed="false">
      <c r="A27" s="115"/>
      <c r="B27" s="103"/>
      <c r="C27" s="103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03"/>
      <c r="Q27" s="131"/>
      <c r="R27" s="103"/>
      <c r="S27" s="103"/>
      <c r="T27" s="131"/>
      <c r="U27" s="131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31"/>
      <c r="AH27" s="103"/>
      <c r="AI27" s="103"/>
      <c r="AJ27" s="103"/>
      <c r="AK27" s="103"/>
      <c r="AL27" s="103"/>
      <c r="AM27" s="131"/>
      <c r="AN27" s="130"/>
      <c r="AO27" s="103"/>
      <c r="AP27" s="131"/>
      <c r="AQ27" s="130"/>
      <c r="AR27" s="103"/>
      <c r="AS27" s="103"/>
      <c r="AT27" s="103"/>
      <c r="AU27" s="103"/>
    </row>
    <row r="28" customFormat="false" ht="12.75" hidden="false" customHeight="false" outlineLevel="0" collapsed="false">
      <c r="A28" s="132" t="s">
        <v>330</v>
      </c>
      <c r="B28" s="103"/>
      <c r="C28" s="103"/>
      <c r="D28" s="130" t="n">
        <f aca="false">-D298-D299</f>
        <v>-0</v>
      </c>
      <c r="E28" s="130" t="n">
        <f aca="false">-E298-E299</f>
        <v>-0</v>
      </c>
      <c r="F28" s="130" t="n">
        <f aca="false">-F298-F299</f>
        <v>-0</v>
      </c>
      <c r="G28" s="130" t="n">
        <f aca="false">-G298-G299</f>
        <v>-0</v>
      </c>
      <c r="H28" s="130" t="n">
        <f aca="false">-H298-H299</f>
        <v>-0</v>
      </c>
      <c r="I28" s="130" t="n">
        <f aca="false">-I298-I299</f>
        <v>-0</v>
      </c>
      <c r="J28" s="130" t="n">
        <f aca="false">-J298-J299</f>
        <v>-0</v>
      </c>
      <c r="K28" s="130" t="n">
        <f aca="false">-K298-K299</f>
        <v>-0</v>
      </c>
      <c r="L28" s="130" t="n">
        <f aca="false">-L298-L299</f>
        <v>-0</v>
      </c>
      <c r="M28" s="130" t="n">
        <f aca="false">-M298-M299</f>
        <v>-0</v>
      </c>
      <c r="N28" s="130" t="n">
        <f aca="false">-N298-N299</f>
        <v>-0</v>
      </c>
      <c r="O28" s="130" t="n">
        <f aca="false">-O298-O299</f>
        <v>-0</v>
      </c>
      <c r="P28" s="130" t="n">
        <f aca="false">SUM(D28:O28)</f>
        <v>0</v>
      </c>
      <c r="Q28" s="131" t="n">
        <f aca="false">SUM(D28:J28)</f>
        <v>0</v>
      </c>
      <c r="R28" s="130" t="n">
        <f aca="false">P28-Q28</f>
        <v>0</v>
      </c>
      <c r="S28" s="103"/>
      <c r="T28" s="131" t="n">
        <v>0</v>
      </c>
      <c r="U28" s="131" t="n">
        <v>0</v>
      </c>
      <c r="V28" s="130" t="n">
        <f aca="false">T28-U28</f>
        <v>0</v>
      </c>
      <c r="W28" s="103"/>
      <c r="X28" s="130"/>
      <c r="Y28" s="130"/>
      <c r="Z28" s="103"/>
      <c r="AA28" s="103" t="str">
        <f aca="false">A28</f>
        <v>   Deferred Severance / Relocation Charges</v>
      </c>
      <c r="AB28" s="130" t="n">
        <f aca="false">P28</f>
        <v>0</v>
      </c>
      <c r="AC28" s="131" t="n">
        <f aca="false">SUM(D28:L28)</f>
        <v>0</v>
      </c>
      <c r="AD28" s="130" t="n">
        <f aca="false">AB28-AC28</f>
        <v>0</v>
      </c>
      <c r="AE28" s="103"/>
      <c r="AF28" s="130" t="n">
        <f aca="false">T28</f>
        <v>0</v>
      </c>
      <c r="AG28" s="130" t="n">
        <f aca="false">U28</f>
        <v>0</v>
      </c>
      <c r="AH28" s="130" t="n">
        <f aca="false">AF28-AG28</f>
        <v>0</v>
      </c>
      <c r="AI28" s="103"/>
      <c r="AJ28" s="130" t="n">
        <f aca="false">AC28-AG28</f>
        <v>0</v>
      </c>
      <c r="AK28" s="130" t="n">
        <f aca="false">AB28-AF28</f>
        <v>0</v>
      </c>
      <c r="AL28" s="103"/>
      <c r="AM28" s="131" t="n">
        <v>0</v>
      </c>
      <c r="AN28" s="130" t="n">
        <f aca="false">AB28-AM28</f>
        <v>0</v>
      </c>
      <c r="AO28" s="103"/>
      <c r="AP28" s="131" t="n">
        <v>0</v>
      </c>
      <c r="AQ28" s="130" t="n">
        <f aca="false">AC28-AP28</f>
        <v>0</v>
      </c>
      <c r="AR28" s="103"/>
      <c r="AS28" s="103"/>
      <c r="AT28" s="103"/>
      <c r="AU28" s="103"/>
    </row>
    <row r="29" customFormat="false" ht="12.75" hidden="false" customHeight="false" outlineLevel="0" collapsed="false">
      <c r="A29" s="132" t="s">
        <v>479</v>
      </c>
      <c r="B29" s="103"/>
      <c r="C29" s="103"/>
      <c r="D29" s="130" t="n">
        <f aca="false">-BACKUP!D43-BACKUP!D146+BACKUP!D335+BACKUP!D460+BACKUP!D494</f>
        <v>-483</v>
      </c>
      <c r="E29" s="130" t="n">
        <f aca="false">-BACKUP!E43-BACKUP!E146+BACKUP!E335+BACKUP!E460+BACKUP!E494</f>
        <v>75</v>
      </c>
      <c r="F29" s="130" t="n">
        <f aca="false">-BACKUP!F43-BACKUP!F146+BACKUP!F335+BACKUP!F460+BACKUP!F494</f>
        <v>62</v>
      </c>
      <c r="G29" s="130" t="n">
        <f aca="false">-BACKUP!G43-BACKUP!G146+BACKUP!G335+BACKUP!G460+BACKUP!G494</f>
        <v>153</v>
      </c>
      <c r="H29" s="130" t="n">
        <f aca="false">-BACKUP!H43-BACKUP!H146+BACKUP!H335+BACKUP!H460+BACKUP!H494</f>
        <v>141</v>
      </c>
      <c r="I29" s="130" t="n">
        <f aca="false">-BACKUP!I43-BACKUP!I146+BACKUP!I335+BACKUP!I460+BACKUP!I494</f>
        <v>138</v>
      </c>
      <c r="J29" s="130" t="n">
        <f aca="false">-BACKUP!J43-BACKUP!J146+BACKUP!J335+BACKUP!J460+BACKUP!J494</f>
        <v>717</v>
      </c>
      <c r="K29" s="130" t="n">
        <f aca="false">-BACKUP!K43-BACKUP!K146+BACKUP!K335+BACKUP!K460+BACKUP!K494</f>
        <v>0</v>
      </c>
      <c r="L29" s="130" t="n">
        <f aca="false">-BACKUP!L43-BACKUP!L146+BACKUP!L335+BACKUP!L460+BACKUP!L494</f>
        <v>0</v>
      </c>
      <c r="M29" s="130" t="n">
        <f aca="false">-BACKUP!M43-BACKUP!M146+BACKUP!M335+BACKUP!M460+BACKUP!M494</f>
        <v>0</v>
      </c>
      <c r="N29" s="130" t="n">
        <f aca="false">-BACKUP!N43-BACKUP!N146+BACKUP!N335+BACKUP!N460+BACKUP!N494</f>
        <v>0</v>
      </c>
      <c r="O29" s="130" t="n">
        <f aca="false">-BACKUP!O43-BACKUP!O146+BACKUP!O335+BACKUP!O460+BACKUP!O494</f>
        <v>0</v>
      </c>
      <c r="P29" s="130" t="n">
        <f aca="false">SUM(D29:O29)</f>
        <v>803</v>
      </c>
      <c r="Q29" s="131" t="n">
        <f aca="false">SUM(D29:J29)</f>
        <v>803</v>
      </c>
      <c r="R29" s="130" t="n">
        <f aca="false">P29-Q29</f>
        <v>0</v>
      </c>
      <c r="S29" s="103"/>
      <c r="T29" s="131" t="n">
        <v>0</v>
      </c>
      <c r="U29" s="131" t="n">
        <v>0</v>
      </c>
      <c r="V29" s="130" t="n">
        <f aca="false">T29-U29</f>
        <v>0</v>
      </c>
      <c r="W29" s="103"/>
      <c r="X29" s="103"/>
      <c r="Y29" s="103"/>
      <c r="Z29" s="103"/>
      <c r="AA29" s="103" t="str">
        <f aca="false">A29</f>
        <v>   Price Risk Management Activities (Net)</v>
      </c>
      <c r="AB29" s="130" t="n">
        <f aca="false">P29</f>
        <v>803</v>
      </c>
      <c r="AC29" s="131" t="n">
        <f aca="false">SUM(D29:L29)</f>
        <v>803</v>
      </c>
      <c r="AD29" s="130" t="n">
        <f aca="false">AB29-AC29</f>
        <v>0</v>
      </c>
      <c r="AE29" s="103"/>
      <c r="AF29" s="130" t="n">
        <f aca="false">T29</f>
        <v>0</v>
      </c>
      <c r="AG29" s="130" t="n">
        <f aca="false">U29</f>
        <v>0</v>
      </c>
      <c r="AH29" s="130" t="n">
        <f aca="false">AF29-AG29</f>
        <v>0</v>
      </c>
      <c r="AI29" s="103"/>
      <c r="AJ29" s="130" t="n">
        <f aca="false">AC29-AG29</f>
        <v>803</v>
      </c>
      <c r="AK29" s="130" t="n">
        <f aca="false">AB29-AF29</f>
        <v>803</v>
      </c>
      <c r="AL29" s="103"/>
      <c r="AM29" s="131" t="n">
        <v>86</v>
      </c>
      <c r="AN29" s="130" t="n">
        <f aca="false">AB29-AM29</f>
        <v>717</v>
      </c>
      <c r="AO29" s="103"/>
      <c r="AP29" s="131" t="n">
        <v>86</v>
      </c>
      <c r="AQ29" s="130" t="n">
        <f aca="false">AC29-AP29</f>
        <v>717</v>
      </c>
      <c r="AR29" s="103"/>
      <c r="AS29" s="103"/>
      <c r="AT29" s="103"/>
      <c r="AU29" s="103"/>
    </row>
    <row r="30" customFormat="false" ht="12.75" hidden="false" customHeight="false" outlineLevel="0" collapsed="false">
      <c r="A30" s="132" t="s">
        <v>480</v>
      </c>
      <c r="B30" s="103"/>
      <c r="C30" s="103"/>
      <c r="D30" s="130" t="n">
        <f aca="false">-BACKUP!D116-BACKUP!D121</f>
        <v>-525</v>
      </c>
      <c r="E30" s="130" t="n">
        <f aca="false">-BACKUP!E116-BACKUP!E121</f>
        <v>-329</v>
      </c>
      <c r="F30" s="133" t="n">
        <f aca="false">-BACKUP!F116-BACKUP!F121-1</f>
        <v>-313</v>
      </c>
      <c r="G30" s="133" t="n">
        <f aca="false">-BACKUP!G116-BACKUP!G121+1</f>
        <v>-1284</v>
      </c>
      <c r="H30" s="133" t="n">
        <f aca="false">-BACKUP!H116-BACKUP!H121-1</f>
        <v>-318</v>
      </c>
      <c r="I30" s="130" t="n">
        <f aca="false">-BACKUP!I116-BACKUP!I121</f>
        <v>-436</v>
      </c>
      <c r="J30" s="130" t="n">
        <f aca="false">-BACKUP!J116-BACKUP!J121</f>
        <v>-335</v>
      </c>
      <c r="K30" s="130" t="n">
        <f aca="false">-BACKUP!K116-BACKUP!K121</f>
        <v>-270</v>
      </c>
      <c r="L30" s="130" t="n">
        <f aca="false">-BACKUP!L116-BACKUP!L121</f>
        <v>-324</v>
      </c>
      <c r="M30" s="130" t="n">
        <f aca="false">-BACKUP!M116-BACKUP!M121</f>
        <v>-325</v>
      </c>
      <c r="N30" s="130" t="n">
        <f aca="false">-BACKUP!N116-BACKUP!N121</f>
        <v>-342</v>
      </c>
      <c r="O30" s="130" t="n">
        <f aca="false">-BACKUP!O116-BACKUP!O121</f>
        <v>-16</v>
      </c>
      <c r="P30" s="130" t="n">
        <f aca="false">SUM(D30:O30)</f>
        <v>-4817</v>
      </c>
      <c r="Q30" s="131" t="n">
        <f aca="false">SUM(D30:J30)</f>
        <v>-3540</v>
      </c>
      <c r="R30" s="130" t="n">
        <f aca="false">P30-Q30</f>
        <v>-1277</v>
      </c>
      <c r="S30" s="103"/>
      <c r="T30" s="131" t="n">
        <v>-3693</v>
      </c>
      <c r="U30" s="131" t="n">
        <v>-3010</v>
      </c>
      <c r="V30" s="130" t="n">
        <f aca="false">T30-U30</f>
        <v>-683</v>
      </c>
      <c r="W30" s="103"/>
      <c r="X30" s="130"/>
      <c r="Y30" s="130"/>
      <c r="Z30" s="103"/>
      <c r="AA30" s="103" t="str">
        <f aca="false">A30</f>
        <v>   Equity Earnings</v>
      </c>
      <c r="AB30" s="130" t="n">
        <f aca="false">P30</f>
        <v>-4817</v>
      </c>
      <c r="AC30" s="131" t="n">
        <f aca="false">SUM(D30:L30)</f>
        <v>-4134</v>
      </c>
      <c r="AD30" s="130" t="n">
        <f aca="false">AB30-AC30</f>
        <v>-683</v>
      </c>
      <c r="AE30" s="103"/>
      <c r="AF30" s="130" t="n">
        <f aca="false">T30</f>
        <v>-3693</v>
      </c>
      <c r="AG30" s="130" t="n">
        <f aca="false">U30</f>
        <v>-3010</v>
      </c>
      <c r="AH30" s="130" t="n">
        <f aca="false">AF30-AG30</f>
        <v>-683</v>
      </c>
      <c r="AI30" s="103"/>
      <c r="AJ30" s="130" t="n">
        <f aca="false">AC30-AG30</f>
        <v>-1124</v>
      </c>
      <c r="AK30" s="130" t="n">
        <f aca="false">AB30-AF30</f>
        <v>-1124</v>
      </c>
      <c r="AL30" s="103"/>
      <c r="AM30" s="131" t="n">
        <v>-4840</v>
      </c>
      <c r="AN30" s="130" t="n">
        <f aca="false">AB30-AM30</f>
        <v>23</v>
      </c>
      <c r="AO30" s="103"/>
      <c r="AP30" s="131" t="n">
        <v>-4157</v>
      </c>
      <c r="AQ30" s="130" t="n">
        <f aca="false">AC30-AP30</f>
        <v>23</v>
      </c>
      <c r="AR30" s="103"/>
      <c r="AS30" s="103"/>
      <c r="AT30" s="103"/>
      <c r="AU30" s="103"/>
    </row>
    <row r="31" customFormat="false" ht="12.75" hidden="false" customHeight="false" outlineLevel="0" collapsed="false">
      <c r="A31" s="132" t="s">
        <v>481</v>
      </c>
      <c r="B31" s="103"/>
      <c r="C31" s="103"/>
      <c r="D31" s="135" t="n">
        <f aca="false">-SUM(BACKUP!D117:BACKUP!D119)+BACKUP!D119-BACKUP!D120</f>
        <v>0</v>
      </c>
      <c r="E31" s="135" t="n">
        <f aca="false">-SUM(BACKUP!E117:BACKUP!E119)+BACKUP!E119-BACKUP!E120</f>
        <v>0</v>
      </c>
      <c r="F31" s="135" t="n">
        <f aca="false">-SUM(BACKUP!F117:BACKUP!F119)+BACKUP!F119-BACKUP!F120</f>
        <v>800</v>
      </c>
      <c r="G31" s="135" t="n">
        <f aca="false">-SUM(BACKUP!G117:BACKUP!G119)+BACKUP!G119-BACKUP!G120</f>
        <v>0</v>
      </c>
      <c r="H31" s="135" t="n">
        <f aca="false">-SUM(BACKUP!H117:BACKUP!H119)+BACKUP!H119-BACKUP!H120</f>
        <v>0</v>
      </c>
      <c r="I31" s="135" t="n">
        <f aca="false">-SUM(BACKUP!I117:BACKUP!I119)+BACKUP!I119-BACKUP!I120</f>
        <v>3800</v>
      </c>
      <c r="J31" s="135" t="n">
        <f aca="false">-SUM(BACKUP!J117:BACKUP!J119)+BACKUP!J119-BACKUP!J120</f>
        <v>0</v>
      </c>
      <c r="K31" s="135" t="n">
        <f aca="false">-SUM(BACKUP!K117:BACKUP!K119)+BACKUP!K119-BACKUP!K120</f>
        <v>2000</v>
      </c>
      <c r="L31" s="135" t="n">
        <f aca="false">-SUM(BACKUP!L117:BACKUP!L119)+BACKUP!L119-BACKUP!L120</f>
        <v>800</v>
      </c>
      <c r="M31" s="135" t="n">
        <f aca="false">-SUM(BACKUP!M117:BACKUP!M119)+BACKUP!M119-BACKUP!M120</f>
        <v>0</v>
      </c>
      <c r="N31" s="135" t="n">
        <f aca="false">-SUM(BACKUP!N117:BACKUP!N119)+BACKUP!N119-BACKUP!N120</f>
        <v>0</v>
      </c>
      <c r="O31" s="135" t="n">
        <f aca="false">-SUM(BACKUP!O117:BACKUP!O119)+BACKUP!O119-BACKUP!O120</f>
        <v>800</v>
      </c>
      <c r="P31" s="130" t="n">
        <f aca="false">SUM(D31:O31)</f>
        <v>8200</v>
      </c>
      <c r="Q31" s="131" t="n">
        <f aca="false">SUM(D31:J31)</f>
        <v>4600</v>
      </c>
      <c r="R31" s="130" t="n">
        <f aca="false">P31-Q31</f>
        <v>3600</v>
      </c>
      <c r="S31" s="103"/>
      <c r="T31" s="131" t="n">
        <v>3200</v>
      </c>
      <c r="U31" s="131" t="n">
        <v>2400</v>
      </c>
      <c r="V31" s="130" t="n">
        <f aca="false">T31-U31</f>
        <v>800</v>
      </c>
      <c r="W31" s="103"/>
      <c r="X31" s="130"/>
      <c r="Y31" s="130"/>
      <c r="Z31" s="103"/>
      <c r="AA31" s="103" t="str">
        <f aca="false">A31</f>
        <v>   Equity / Partner. Distributions / Overthrust Sale (Book Basis)</v>
      </c>
      <c r="AB31" s="130" t="n">
        <f aca="false">P31</f>
        <v>8200</v>
      </c>
      <c r="AC31" s="131" t="n">
        <f aca="false">SUM(D31:L31)</f>
        <v>7400</v>
      </c>
      <c r="AD31" s="130" t="n">
        <f aca="false">AB31-AC31</f>
        <v>800</v>
      </c>
      <c r="AE31" s="103"/>
      <c r="AF31" s="130" t="n">
        <f aca="false">T31</f>
        <v>3200</v>
      </c>
      <c r="AG31" s="130" t="n">
        <f aca="false">U31</f>
        <v>2400</v>
      </c>
      <c r="AH31" s="130" t="n">
        <f aca="false">AF31-AG31</f>
        <v>800</v>
      </c>
      <c r="AI31" s="103"/>
      <c r="AJ31" s="130" t="n">
        <f aca="false">AC31-AG31</f>
        <v>5000</v>
      </c>
      <c r="AK31" s="130" t="n">
        <f aca="false">AB31-AF31</f>
        <v>5000</v>
      </c>
      <c r="AL31" s="103"/>
      <c r="AM31" s="131" t="n">
        <v>6200</v>
      </c>
      <c r="AN31" s="130" t="n">
        <f aca="false">AB31-AM31</f>
        <v>2000</v>
      </c>
      <c r="AO31" s="103"/>
      <c r="AP31" s="131" t="n">
        <v>5400</v>
      </c>
      <c r="AQ31" s="130" t="n">
        <f aca="false">AC31-AP31</f>
        <v>2000</v>
      </c>
      <c r="AR31" s="103"/>
      <c r="AS31" s="103"/>
      <c r="AT31" s="103"/>
      <c r="AU31" s="103"/>
    </row>
    <row r="32" customFormat="false" ht="12.75" hidden="false" customHeight="false" outlineLevel="0" collapsed="false">
      <c r="A32" s="132" t="s">
        <v>482</v>
      </c>
      <c r="B32" s="103"/>
      <c r="C32" s="103"/>
      <c r="D32" s="139" t="n">
        <f aca="false">-BACKUP!D492-BACKUP!D493+267</f>
        <v>267</v>
      </c>
      <c r="E32" s="139" t="n">
        <f aca="false">-BACKUP!E492-BACKUP!E493-259</f>
        <v>-259</v>
      </c>
      <c r="F32" s="139" t="n">
        <f aca="false">-BACKUP!F492-BACKUP!F493-8</f>
        <v>-8</v>
      </c>
      <c r="G32" s="138" t="n">
        <f aca="false">-BACKUP!G492-BACKUP!G493</f>
        <v>-0</v>
      </c>
      <c r="H32" s="130" t="n">
        <f aca="false">-BACKUP!H492-BACKUP!H493</f>
        <v>-0</v>
      </c>
      <c r="I32" s="139" t="n">
        <f aca="false">-BACKUP!I492-BACKUP!I493-553</f>
        <v>-553</v>
      </c>
      <c r="J32" s="130" t="n">
        <f aca="false">-BACKUP!J492-BACKUP!J493</f>
        <v>-0</v>
      </c>
      <c r="K32" s="138" t="n">
        <f aca="false">-BACKUP!K492-BACKUP!K493</f>
        <v>-0</v>
      </c>
      <c r="L32" s="139" t="n">
        <f aca="false">-BACKUP!L492-BACKUP!L493</f>
        <v>-0</v>
      </c>
      <c r="M32" s="130" t="n">
        <f aca="false">-BACKUP!M492-BACKUP!M493</f>
        <v>-0</v>
      </c>
      <c r="N32" s="130" t="n">
        <f aca="false">-BACKUP!N492-BACKUP!N493</f>
        <v>-0</v>
      </c>
      <c r="O32" s="139" t="n">
        <f aca="false">-BACKUP!O492-BACKUP!O493+(-8800+200+1000)-2300+7600</f>
        <v>-2300</v>
      </c>
      <c r="P32" s="130" t="n">
        <f aca="false">SUM(D32:O32)</f>
        <v>-2853</v>
      </c>
      <c r="Q32" s="131" t="n">
        <f aca="false">SUM(D32:J32)</f>
        <v>-553</v>
      </c>
      <c r="R32" s="130" t="n">
        <f aca="false">P32-Q32</f>
        <v>-2300</v>
      </c>
      <c r="S32" s="103"/>
      <c r="T32" s="131" t="n">
        <v>-9900</v>
      </c>
      <c r="U32" s="131" t="n">
        <v>-9900</v>
      </c>
      <c r="V32" s="130" t="n">
        <f aca="false">T32-U32</f>
        <v>0</v>
      </c>
      <c r="W32" s="103"/>
      <c r="X32" s="103"/>
      <c r="Y32" s="103"/>
      <c r="Z32" s="103"/>
      <c r="AA32" s="103" t="str">
        <f aca="false">A32</f>
        <v>   Net (Gain) / Loss on Sale of Assets</v>
      </c>
      <c r="AB32" s="130" t="n">
        <f aca="false">P32</f>
        <v>-2853</v>
      </c>
      <c r="AC32" s="131" t="n">
        <f aca="false">SUM(D32:L32)</f>
        <v>-553</v>
      </c>
      <c r="AD32" s="130" t="n">
        <f aca="false">AB32-AC32</f>
        <v>-2300</v>
      </c>
      <c r="AE32" s="103"/>
      <c r="AF32" s="130" t="n">
        <f aca="false">T32</f>
        <v>-9900</v>
      </c>
      <c r="AG32" s="130" t="n">
        <f aca="false">U32</f>
        <v>-9900</v>
      </c>
      <c r="AH32" s="130" t="n">
        <f aca="false">AF32-AG32</f>
        <v>0</v>
      </c>
      <c r="AI32" s="103"/>
      <c r="AJ32" s="130" t="n">
        <f aca="false">AC32-AG32</f>
        <v>9347</v>
      </c>
      <c r="AK32" s="130" t="n">
        <f aca="false">AB32-AF32</f>
        <v>7047</v>
      </c>
      <c r="AL32" s="103"/>
      <c r="AM32" s="131" t="n">
        <v>-10500</v>
      </c>
      <c r="AN32" s="130" t="n">
        <f aca="false">AB32-AM32</f>
        <v>7647</v>
      </c>
      <c r="AO32" s="103"/>
      <c r="AP32" s="131" t="n">
        <v>-600</v>
      </c>
      <c r="AQ32" s="130" t="n">
        <f aca="false">AC32-AP32</f>
        <v>47</v>
      </c>
      <c r="AR32" s="103"/>
      <c r="AS32" s="103"/>
      <c r="AT32" s="103"/>
      <c r="AU32" s="103"/>
    </row>
    <row r="33" customFormat="false" ht="12.75" hidden="false" customHeight="false" outlineLevel="0" collapsed="false">
      <c r="A33" s="132" t="s">
        <v>483</v>
      </c>
      <c r="B33" s="103"/>
      <c r="C33" s="103"/>
      <c r="D33" s="130" t="n">
        <f aca="false">-D343+D346</f>
        <v>-2772</v>
      </c>
      <c r="E33" s="130" t="n">
        <f aca="false">-E343+E346</f>
        <v>3495</v>
      </c>
      <c r="F33" s="130" t="n">
        <f aca="false">-F343+F346</f>
        <v>346</v>
      </c>
      <c r="G33" s="130" t="n">
        <f aca="false">-G343+G346</f>
        <v>1502</v>
      </c>
      <c r="H33" s="130" t="n">
        <f aca="false">-H343+H346</f>
        <v>4305</v>
      </c>
      <c r="I33" s="130" t="n">
        <f aca="false">-I343+I346</f>
        <v>3265</v>
      </c>
      <c r="J33" s="130" t="n">
        <f aca="false">-J343+J346</f>
        <v>3422</v>
      </c>
      <c r="K33" s="130" t="n">
        <f aca="false">-K343+K346</f>
        <v>341</v>
      </c>
      <c r="L33" s="130" t="n">
        <f aca="false">-L343+L346</f>
        <v>418</v>
      </c>
      <c r="M33" s="130" t="n">
        <f aca="false">-M343+M346</f>
        <v>317</v>
      </c>
      <c r="N33" s="130" t="n">
        <f aca="false">-N343+N346</f>
        <v>918</v>
      </c>
      <c r="O33" s="130" t="n">
        <f aca="false">-O343+O346</f>
        <v>-9786</v>
      </c>
      <c r="P33" s="130" t="n">
        <f aca="false">SUM(D33:O33)</f>
        <v>5771</v>
      </c>
      <c r="Q33" s="131" t="n">
        <f aca="false">SUM(D33:J33)</f>
        <v>13563</v>
      </c>
      <c r="R33" s="130" t="n">
        <f aca="false">P33-Q33</f>
        <v>-7792</v>
      </c>
      <c r="S33" s="103"/>
      <c r="T33" s="131" t="n">
        <v>3321</v>
      </c>
      <c r="U33" s="131" t="n">
        <v>3854</v>
      </c>
      <c r="V33" s="130" t="n">
        <f aca="false">T33-U33</f>
        <v>-533</v>
      </c>
      <c r="W33" s="103"/>
      <c r="X33" s="103"/>
      <c r="Y33" s="103"/>
      <c r="Z33" s="103"/>
      <c r="AA33" s="103" t="str">
        <f aca="false">A33</f>
        <v>   Other Regulatory Assets / Liabilities</v>
      </c>
      <c r="AB33" s="130" t="n">
        <f aca="false">P33</f>
        <v>5771</v>
      </c>
      <c r="AC33" s="131" t="n">
        <f aca="false">SUM(D33:L33)</f>
        <v>14322</v>
      </c>
      <c r="AD33" s="130" t="n">
        <f aca="false">AB33-AC33</f>
        <v>-8551</v>
      </c>
      <c r="AE33" s="103"/>
      <c r="AF33" s="130" t="n">
        <f aca="false">T33</f>
        <v>3321</v>
      </c>
      <c r="AG33" s="130" t="n">
        <f aca="false">U33</f>
        <v>3854</v>
      </c>
      <c r="AH33" s="130" t="n">
        <f aca="false">AF33-AG33</f>
        <v>-533</v>
      </c>
      <c r="AI33" s="103"/>
      <c r="AJ33" s="130" t="n">
        <f aca="false">AC33-AG33</f>
        <v>10468</v>
      </c>
      <c r="AK33" s="130" t="n">
        <f aca="false">AB33-AF33</f>
        <v>2450</v>
      </c>
      <c r="AL33" s="103"/>
      <c r="AM33" s="131" t="n">
        <v>810</v>
      </c>
      <c r="AN33" s="130" t="n">
        <f aca="false">AB33-AM33</f>
        <v>4961</v>
      </c>
      <c r="AO33" s="103"/>
      <c r="AP33" s="131" t="n">
        <v>11376</v>
      </c>
      <c r="AQ33" s="130" t="n">
        <f aca="false">AC33-AP33</f>
        <v>2946</v>
      </c>
      <c r="AR33" s="103"/>
      <c r="AS33" s="103"/>
      <c r="AT33" s="103"/>
      <c r="AU33" s="103"/>
    </row>
    <row r="34" customFormat="false" ht="12.75" hidden="false" customHeight="false" outlineLevel="0" collapsed="false">
      <c r="A34" s="132" t="s">
        <v>484</v>
      </c>
      <c r="B34" s="103"/>
      <c r="C34" s="103"/>
      <c r="D34" s="140" t="n">
        <f aca="false">D258-D268-D271-D273+D284+D286-D305-D306-D307-SUM(D308:D318)+SUM(D333:D338)+D330+D352+D362+1-2+1+1-267</f>
        <v>1266</v>
      </c>
      <c r="E34" s="140" t="n">
        <f aca="false">E258-E268-E271-E273+E284+E286-E305-E306-E307-SUM(E308:E318)+SUM(E333:E338)+E330+E352+E362+1-1+1+3-2-2-1+259+1+(-2)</f>
        <v>-524</v>
      </c>
      <c r="F34" s="140" t="n">
        <f aca="false">F258-F268-F271-F273+F284+F286-F305-F306-F307-SUM(F308:F318)+SUM(F333:F338)+F330+F352+F362+(-4967-10)-1-65+3+2+1+8+(2)</f>
        <v>-3806</v>
      </c>
      <c r="G34" s="140" t="n">
        <f aca="false">G258-G268-G271-G273+G284+G286-G305-G306-G307-SUM(G308:G318)+SUM(G333:G338)+G330+G352+G362+4-1+1-4-2-11-1</f>
        <v>-412</v>
      </c>
      <c r="H34" s="140" t="n">
        <f aca="false">H258-H268-H271-H273+H284+H286-H305-H306-H307-SUM(H308:H318)+SUM(H333:H338)+H330+H352+H362-3+2-7+1-1+1+117</f>
        <v>101</v>
      </c>
      <c r="I34" s="140" t="n">
        <f aca="false">I258-I268-I271-I273+I284+I286-I305-I306-I307-SUM(I308:I318)+SUM(I333:I338)+I330+I352+I362-2+1-2+553-3353-1+(-2)</f>
        <v>-1192</v>
      </c>
      <c r="J34" s="140" t="n">
        <f aca="false">J258-J268-J271-J273+J284+J286-J305-J306-J307-SUM(J308:J318)+SUM(J333:J338)+J330+J352+J362-10</f>
        <v>-1202</v>
      </c>
      <c r="K34" s="141" t="n">
        <f aca="false">K258-K268-K271-K273+K284+K286-K305-K306-K307-SUM(K308:K318)+SUM(K333:K338)+K330+K352+K362</f>
        <v>-158</v>
      </c>
      <c r="L34" s="141" t="n">
        <f aca="false">L258-L268-L271-L273+L284+L286-L305-L306-L307-SUM(L308:L318)+SUM(L333:L338)+L330+L352+L362</f>
        <v>-219</v>
      </c>
      <c r="M34" s="141" t="n">
        <f aca="false">M258-M268-M271-M273+M284+M286-M305-M306-M307-SUM(M308:M318)+SUM(M333:M338)+M330+M352+M362</f>
        <v>-161</v>
      </c>
      <c r="N34" s="141" t="n">
        <f aca="false">N258-N268-N271-N273+N284+N286-N305-N306-N307-SUM(N308:N318)+SUM(N333:N338)+N330+N352+N362</f>
        <v>-86</v>
      </c>
      <c r="O34" s="142" t="n">
        <f aca="false">O258-O268-O271-O273+O284+O286-O305-O306-O307-SUM(O308:O318)+SUM(O333:O338)+O330+O352+O362+(2300-2300)</f>
        <v>-377</v>
      </c>
      <c r="P34" s="143" t="n">
        <f aca="false">SUM(D34:O34)</f>
        <v>-6770</v>
      </c>
      <c r="Q34" s="140" t="n">
        <f aca="false">SUM(D34:J34)</f>
        <v>-5769</v>
      </c>
      <c r="R34" s="143" t="n">
        <f aca="false">P34-Q34</f>
        <v>-1001</v>
      </c>
      <c r="S34" s="103"/>
      <c r="T34" s="140" t="n">
        <v>-7962</v>
      </c>
      <c r="U34" s="140" t="n">
        <v>-5862</v>
      </c>
      <c r="V34" s="143" t="n">
        <f aca="false">T34-U34</f>
        <v>-2100</v>
      </c>
      <c r="W34" s="103"/>
      <c r="X34" s="130"/>
      <c r="Y34" s="130"/>
      <c r="Z34" s="103"/>
      <c r="AA34" s="103" t="str">
        <f aca="false">A34</f>
        <v>   Other (Incl. All Capital Costs &amp; Current Reserve Activity) </v>
      </c>
      <c r="AB34" s="143" t="n">
        <f aca="false">P34</f>
        <v>-6770</v>
      </c>
      <c r="AC34" s="140" t="n">
        <f aca="false">SUM(D34:L34)</f>
        <v>-6146</v>
      </c>
      <c r="AD34" s="143" t="n">
        <f aca="false">AB34-AC34</f>
        <v>-624</v>
      </c>
      <c r="AE34" s="103"/>
      <c r="AF34" s="143" t="n">
        <f aca="false">T34</f>
        <v>-7962</v>
      </c>
      <c r="AG34" s="143" t="n">
        <f aca="false">U34</f>
        <v>-5862</v>
      </c>
      <c r="AH34" s="143" t="n">
        <f aca="false">AF34-AG34</f>
        <v>-2100</v>
      </c>
      <c r="AI34" s="103"/>
      <c r="AJ34" s="143" t="n">
        <f aca="false">AC34-AG34</f>
        <v>-284</v>
      </c>
      <c r="AK34" s="143" t="n">
        <f aca="false">AB34-AF34</f>
        <v>1192</v>
      </c>
      <c r="AL34" s="103"/>
      <c r="AM34" s="140" t="n">
        <v>-7421</v>
      </c>
      <c r="AN34" s="143" t="n">
        <f aca="false">AB34-AM34</f>
        <v>651</v>
      </c>
      <c r="AO34" s="103"/>
      <c r="AP34" s="140" t="n">
        <v>-7213</v>
      </c>
      <c r="AQ34" s="143" t="n">
        <f aca="false">AC34-AP34</f>
        <v>1067</v>
      </c>
      <c r="AR34" s="103"/>
      <c r="AS34" s="103"/>
      <c r="AT34" s="103"/>
      <c r="AU34" s="103"/>
    </row>
    <row r="35" customFormat="false" ht="3.95" hidden="false" customHeight="true" outlineLevel="0" collapsed="false">
      <c r="A35" s="115"/>
      <c r="B35" s="103"/>
      <c r="C35" s="103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03"/>
      <c r="T35" s="130"/>
      <c r="U35" s="130"/>
      <c r="V35" s="130"/>
      <c r="W35" s="103"/>
      <c r="X35" s="130"/>
      <c r="Y35" s="130"/>
      <c r="Z35" s="103"/>
      <c r="AA35" s="103"/>
      <c r="AB35" s="130"/>
      <c r="AC35" s="130"/>
      <c r="AD35" s="130"/>
      <c r="AE35" s="103"/>
      <c r="AF35" s="130"/>
      <c r="AG35" s="130"/>
      <c r="AH35" s="130"/>
      <c r="AI35" s="103"/>
      <c r="AJ35" s="130"/>
      <c r="AK35" s="130"/>
      <c r="AL35" s="103"/>
      <c r="AM35" s="130"/>
      <c r="AN35" s="130"/>
      <c r="AO35" s="103"/>
      <c r="AP35" s="130"/>
      <c r="AQ35" s="130"/>
      <c r="AR35" s="103"/>
      <c r="AS35" s="103"/>
      <c r="AT35" s="103"/>
      <c r="AU35" s="103"/>
    </row>
    <row r="36" customFormat="false" ht="12.75" hidden="false" customHeight="false" outlineLevel="0" collapsed="false">
      <c r="A36" s="129" t="s">
        <v>485</v>
      </c>
      <c r="B36" s="103"/>
      <c r="C36" s="103"/>
      <c r="D36" s="143" t="n">
        <f aca="false">SUM(D9:D35)</f>
        <v>77455</v>
      </c>
      <c r="E36" s="143" t="n">
        <f aca="false">SUM(E9:E35)</f>
        <v>-18821</v>
      </c>
      <c r="F36" s="143" t="n">
        <f aca="false">SUM(F9:F35)</f>
        <v>10798</v>
      </c>
      <c r="G36" s="143" t="n">
        <f aca="false">SUM(G9:G35)</f>
        <v>42462</v>
      </c>
      <c r="H36" s="143" t="n">
        <f aca="false">SUM(H9:H35)</f>
        <v>10769</v>
      </c>
      <c r="I36" s="143" t="n">
        <f aca="false">SUM(I9:I35)</f>
        <v>-8028</v>
      </c>
      <c r="J36" s="143" t="n">
        <f aca="false">SUM(J9:J35)</f>
        <v>14242</v>
      </c>
      <c r="K36" s="143" t="n">
        <f aca="false">SUM(K9:K35)</f>
        <v>19945</v>
      </c>
      <c r="L36" s="143" t="n">
        <f aca="false">SUM(L9:L35)</f>
        <v>6000</v>
      </c>
      <c r="M36" s="143" t="n">
        <f aca="false">SUM(M9:M35)</f>
        <v>-7639</v>
      </c>
      <c r="N36" s="143" t="n">
        <f aca="false">SUM(N9:N35)</f>
        <v>-13041</v>
      </c>
      <c r="O36" s="143" t="n">
        <f aca="false">SUM(O9:O35)</f>
        <v>-12030</v>
      </c>
      <c r="P36" s="143" t="n">
        <f aca="false">SUM(P9:P35)</f>
        <v>122112</v>
      </c>
      <c r="Q36" s="143" t="n">
        <f aca="false">SUM(Q9:Q35)</f>
        <v>128877</v>
      </c>
      <c r="R36" s="143" t="n">
        <f aca="false">SUM(R9:R35)</f>
        <v>-6765</v>
      </c>
      <c r="S36" s="103"/>
      <c r="T36" s="143" t="n">
        <f aca="false">SUM(T9:T35)</f>
        <v>121900</v>
      </c>
      <c r="U36" s="143" t="n">
        <f aca="false">SUM(U9:U35)</f>
        <v>117000</v>
      </c>
      <c r="V36" s="143" t="n">
        <f aca="false">SUM(V9:V35)</f>
        <v>4900</v>
      </c>
      <c r="W36" s="103"/>
      <c r="X36" s="130"/>
      <c r="Y36" s="130"/>
      <c r="Z36" s="103"/>
      <c r="AA36" s="100" t="str">
        <f aca="false">A36</f>
        <v>      Cash Provided by Operating Activities</v>
      </c>
      <c r="AB36" s="143" t="n">
        <f aca="false">SUM(AB9:AB35)</f>
        <v>122112</v>
      </c>
      <c r="AC36" s="143" t="n">
        <f aca="false">SUM(AC9:AC35)</f>
        <v>154822</v>
      </c>
      <c r="AD36" s="143" t="n">
        <f aca="false">SUM(AD9:AD35)</f>
        <v>-32710</v>
      </c>
      <c r="AE36" s="103"/>
      <c r="AF36" s="143" t="n">
        <f aca="false">SUM(AF9:AF35)</f>
        <v>121900</v>
      </c>
      <c r="AG36" s="143" t="n">
        <f aca="false">SUM(AG9:AG35)</f>
        <v>117000</v>
      </c>
      <c r="AH36" s="143" t="n">
        <f aca="false">SUM(AH9:AH35)</f>
        <v>4900</v>
      </c>
      <c r="AI36" s="103"/>
      <c r="AJ36" s="143" t="n">
        <f aca="false">SUM(AJ9:AJ35)</f>
        <v>37822</v>
      </c>
      <c r="AK36" s="143" t="n">
        <f aca="false">SUM(AK9:AK35)</f>
        <v>212</v>
      </c>
      <c r="AL36" s="103"/>
      <c r="AM36" s="143" t="n">
        <f aca="false">SUM(AM9:AM35)</f>
        <v>117924</v>
      </c>
      <c r="AN36" s="143" t="n">
        <f aca="false">SUM(AN9:AN35)</f>
        <v>4188</v>
      </c>
      <c r="AO36" s="103"/>
      <c r="AP36" s="143" t="n">
        <f aca="false">SUM(AP9:AP35)</f>
        <v>149315</v>
      </c>
      <c r="AQ36" s="143" t="n">
        <f aca="false">SUM(AQ9:AQ35)</f>
        <v>5507</v>
      </c>
      <c r="AR36" s="103"/>
      <c r="AS36" s="103"/>
      <c r="AT36" s="103"/>
      <c r="AU36" s="103"/>
    </row>
    <row r="37" customFormat="false" ht="6" hidden="false" customHeight="true" outlineLevel="0" collapsed="false">
      <c r="A37" s="115"/>
      <c r="B37" s="103"/>
      <c r="C37" s="103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03"/>
      <c r="T37" s="130"/>
      <c r="U37" s="130"/>
      <c r="V37" s="130"/>
      <c r="W37" s="103"/>
      <c r="X37" s="130"/>
      <c r="Y37" s="130"/>
      <c r="Z37" s="103"/>
      <c r="AA37" s="103"/>
      <c r="AB37" s="130"/>
      <c r="AC37" s="130"/>
      <c r="AD37" s="130"/>
      <c r="AE37" s="103"/>
      <c r="AF37" s="130"/>
      <c r="AG37" s="130"/>
      <c r="AH37" s="130"/>
      <c r="AI37" s="103"/>
      <c r="AJ37" s="130"/>
      <c r="AK37" s="130"/>
      <c r="AL37" s="103"/>
      <c r="AM37" s="130"/>
      <c r="AN37" s="130"/>
      <c r="AO37" s="103"/>
      <c r="AP37" s="130"/>
      <c r="AQ37" s="130"/>
      <c r="AR37" s="103"/>
      <c r="AS37" s="103"/>
      <c r="AT37" s="103"/>
      <c r="AU37" s="103"/>
    </row>
    <row r="38" customFormat="false" ht="12.75" hidden="false" customHeight="false" outlineLevel="0" collapsed="false">
      <c r="A38" s="129" t="s">
        <v>486</v>
      </c>
      <c r="B38" s="103"/>
      <c r="C38" s="103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03"/>
      <c r="Q38" s="103"/>
      <c r="R38" s="103"/>
      <c r="S38" s="103"/>
      <c r="T38" s="130"/>
      <c r="U38" s="130"/>
      <c r="V38" s="103"/>
      <c r="W38" s="103"/>
      <c r="X38" s="103"/>
      <c r="Y38" s="103"/>
      <c r="Z38" s="103"/>
      <c r="AA38" s="100" t="str">
        <f aca="false">A38</f>
        <v>CASH FLOW FROM INVESTING ACTIVITIES</v>
      </c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31"/>
      <c r="AN38" s="103"/>
      <c r="AO38" s="103"/>
      <c r="AP38" s="131"/>
      <c r="AQ38" s="103"/>
      <c r="AR38" s="103"/>
      <c r="AS38" s="103"/>
      <c r="AT38" s="103"/>
      <c r="AU38" s="103"/>
    </row>
    <row r="39" customFormat="false" ht="12.75" hidden="false" customHeight="false" outlineLevel="0" collapsed="false">
      <c r="A39" s="132" t="s">
        <v>487</v>
      </c>
      <c r="B39" s="103"/>
      <c r="C39" s="103"/>
      <c r="D39" s="138" t="n">
        <f aca="false">-D269-D270+D285+D359+D360</f>
        <v>0</v>
      </c>
      <c r="E39" s="138" t="n">
        <f aca="false">-E269-E270+E285+E359+E360</f>
        <v>0</v>
      </c>
      <c r="F39" s="138" t="n">
        <f aca="false">-F269-F270+F285+F359+F360</f>
        <v>0</v>
      </c>
      <c r="G39" s="138" t="n">
        <f aca="false">-G269-G270+G285+G359+G360</f>
        <v>0</v>
      </c>
      <c r="H39" s="138" t="n">
        <f aca="false">-H269-H270+H285+H359+H360</f>
        <v>0</v>
      </c>
      <c r="I39" s="139" t="n">
        <f aca="false">-I269-I270+I285+I359+I360+3353</f>
        <v>3353</v>
      </c>
      <c r="J39" s="138" t="n">
        <f aca="false">-J269-J270+J285+J359+J360</f>
        <v>0</v>
      </c>
      <c r="K39" s="138" t="n">
        <f aca="false">-K269-K270+K285+K359+K360</f>
        <v>0</v>
      </c>
      <c r="L39" s="139" t="n">
        <f aca="false">-L269-L270+L285+L359+L360</f>
        <v>0</v>
      </c>
      <c r="M39" s="130" t="n">
        <f aca="false">-M269-M270+M285+M359+M360</f>
        <v>0</v>
      </c>
      <c r="N39" s="130" t="n">
        <f aca="false">-N269-N270+N285+N359+N360</f>
        <v>0</v>
      </c>
      <c r="O39" s="139" t="n">
        <f aca="false">-O269-O270+O285+O359+O360+(7000-200-1000)+2300-5800</f>
        <v>2300</v>
      </c>
      <c r="P39" s="130" t="n">
        <f aca="false">SUM(D39:O39)</f>
        <v>5653</v>
      </c>
      <c r="Q39" s="131" t="n">
        <f aca="false">SUM(D39:J39)</f>
        <v>3353</v>
      </c>
      <c r="R39" s="130" t="n">
        <f aca="false">P39-Q39</f>
        <v>2300</v>
      </c>
      <c r="S39" s="103"/>
      <c r="T39" s="131" t="n">
        <v>7500</v>
      </c>
      <c r="U39" s="131" t="n">
        <v>7500</v>
      </c>
      <c r="V39" s="130" t="n">
        <f aca="false">T39-U39</f>
        <v>0</v>
      </c>
      <c r="W39" s="103"/>
      <c r="X39" s="103"/>
      <c r="Y39" s="103"/>
      <c r="Z39" s="103"/>
      <c r="AA39" s="103" t="str">
        <f aca="false">A39</f>
        <v>   Proceeds from Sale (Various)</v>
      </c>
      <c r="AB39" s="130" t="n">
        <f aca="false">P39</f>
        <v>5653</v>
      </c>
      <c r="AC39" s="131" t="n">
        <f aca="false">SUM(D39:L39)</f>
        <v>3353</v>
      </c>
      <c r="AD39" s="130" t="n">
        <f aca="false">AB39-AC39</f>
        <v>2300</v>
      </c>
      <c r="AE39" s="103"/>
      <c r="AF39" s="130" t="n">
        <f aca="false">T39</f>
        <v>7500</v>
      </c>
      <c r="AG39" s="130" t="n">
        <f aca="false">U39</f>
        <v>7500</v>
      </c>
      <c r="AH39" s="130" t="n">
        <f aca="false">AF39-AG39</f>
        <v>0</v>
      </c>
      <c r="AI39" s="103"/>
      <c r="AJ39" s="130" t="n">
        <f aca="false">AC39-AG39</f>
        <v>-4147</v>
      </c>
      <c r="AK39" s="130" t="n">
        <f aca="false">AB39-AF39</f>
        <v>-1847</v>
      </c>
      <c r="AL39" s="103"/>
      <c r="AM39" s="131" t="n">
        <v>11500</v>
      </c>
      <c r="AN39" s="130" t="n">
        <f aca="false">AB39-AM39</f>
        <v>-5847</v>
      </c>
      <c r="AO39" s="103"/>
      <c r="AP39" s="131" t="n">
        <v>3400</v>
      </c>
      <c r="AQ39" s="130" t="n">
        <f aca="false">AC39-AP39</f>
        <v>-47</v>
      </c>
      <c r="AR39" s="103"/>
      <c r="AS39" s="103"/>
      <c r="AT39" s="103"/>
      <c r="AU39" s="103"/>
    </row>
    <row r="40" customFormat="false" ht="12.75" hidden="false" customHeight="false" outlineLevel="0" collapsed="false">
      <c r="A40" s="132" t="s">
        <v>488</v>
      </c>
      <c r="B40" s="103"/>
      <c r="C40" s="103"/>
      <c r="D40" s="130" t="n">
        <f aca="false">-D264-D266-D267+D283</f>
        <v>-280</v>
      </c>
      <c r="E40" s="130" t="n">
        <f aca="false">-E264-E266-E267+E283</f>
        <v>861</v>
      </c>
      <c r="F40" s="130" t="n">
        <f aca="false">-F264-F266-F267+F283</f>
        <v>-3798</v>
      </c>
      <c r="G40" s="130" t="n">
        <f aca="false">-G264-G266-G267+G283</f>
        <v>-4249</v>
      </c>
      <c r="H40" s="133" t="n">
        <f aca="false">-H264-H266-H267+H283+1</f>
        <v>-3725</v>
      </c>
      <c r="I40" s="130" t="n">
        <f aca="false">-I264-I266-I267+I283</f>
        <v>-932</v>
      </c>
      <c r="J40" s="130" t="n">
        <f aca="false">-J264-J266-J267+J283</f>
        <v>-5769</v>
      </c>
      <c r="K40" s="130" t="n">
        <f aca="false">-K264-K266-K267+K283</f>
        <v>-10518</v>
      </c>
      <c r="L40" s="130" t="n">
        <f aca="false">-L264-L266-L267+L283</f>
        <v>-11400</v>
      </c>
      <c r="M40" s="130" t="n">
        <f aca="false">-M264-M266-M267+M283</f>
        <v>-12961</v>
      </c>
      <c r="N40" s="130" t="n">
        <f aca="false">-N264-N266-N267+N283</f>
        <v>-12959</v>
      </c>
      <c r="O40" s="130" t="n">
        <f aca="false">-O264-O266-O267+O283</f>
        <v>-8570</v>
      </c>
      <c r="P40" s="130" t="n">
        <f aca="false">SUM(D40:O40)</f>
        <v>-74300</v>
      </c>
      <c r="Q40" s="131" t="n">
        <f aca="false">SUM(D40:J40)</f>
        <v>-17892</v>
      </c>
      <c r="R40" s="130" t="n">
        <f aca="false">P40-Q40</f>
        <v>-56408</v>
      </c>
      <c r="S40" s="103"/>
      <c r="T40" s="144" t="n">
        <v>-83700</v>
      </c>
      <c r="U40" s="144" t="n">
        <v>-67600</v>
      </c>
      <c r="V40" s="130" t="n">
        <f aca="false">T40-U40</f>
        <v>-16100</v>
      </c>
      <c r="W40" s="103"/>
      <c r="X40" s="130"/>
      <c r="Y40" s="130"/>
      <c r="Z40" s="103"/>
      <c r="AA40" s="103" t="str">
        <f aca="false">A40</f>
        <v>   Additions to Property </v>
      </c>
      <c r="AB40" s="130" t="n">
        <f aca="false">P40</f>
        <v>-74300</v>
      </c>
      <c r="AC40" s="131" t="n">
        <f aca="false">SUM(D40:L40)</f>
        <v>-39810</v>
      </c>
      <c r="AD40" s="130" t="n">
        <f aca="false">AB40-AC40</f>
        <v>-34490</v>
      </c>
      <c r="AE40" s="103"/>
      <c r="AF40" s="130" t="n">
        <f aca="false">T40</f>
        <v>-83700</v>
      </c>
      <c r="AG40" s="130" t="n">
        <f aca="false">U40</f>
        <v>-67600</v>
      </c>
      <c r="AH40" s="130" t="n">
        <f aca="false">AF40-AG40</f>
        <v>-16100</v>
      </c>
      <c r="AI40" s="103"/>
      <c r="AJ40" s="130" t="n">
        <f aca="false">AC40-AG40</f>
        <v>27790</v>
      </c>
      <c r="AK40" s="130" t="n">
        <f aca="false">AB40-AF40</f>
        <v>9400</v>
      </c>
      <c r="AL40" s="103"/>
      <c r="AM40" s="131" t="n">
        <v>-83700</v>
      </c>
      <c r="AN40" s="130" t="n">
        <f aca="false">AB40-AM40</f>
        <v>9400</v>
      </c>
      <c r="AO40" s="103"/>
      <c r="AP40" s="131" t="n">
        <v>-46941</v>
      </c>
      <c r="AQ40" s="130" t="n">
        <f aca="false">AC40-AP40</f>
        <v>7131</v>
      </c>
      <c r="AR40" s="103"/>
      <c r="AS40" s="103"/>
      <c r="AT40" s="103"/>
      <c r="AU40" s="103"/>
    </row>
    <row r="41" customFormat="false" ht="12.75" hidden="false" customHeight="false" outlineLevel="0" collapsed="false">
      <c r="A41" s="132" t="s">
        <v>489</v>
      </c>
      <c r="B41" s="103"/>
      <c r="C41" s="103"/>
      <c r="D41" s="130" t="n">
        <f aca="false">-D265-D272</f>
        <v>-45815</v>
      </c>
      <c r="E41" s="133" t="n">
        <f aca="false">-E265-E272-1</f>
        <v>-11147</v>
      </c>
      <c r="F41" s="130" t="n">
        <f aca="false">-F265-F272</f>
        <v>1541</v>
      </c>
      <c r="G41" s="130" t="n">
        <f aca="false">-G265-G272</f>
        <v>9352</v>
      </c>
      <c r="H41" s="133" t="n">
        <f aca="false">-H265-H272-1</f>
        <v>4793</v>
      </c>
      <c r="I41" s="130" t="n">
        <f aca="false">-I265-I272</f>
        <v>4071</v>
      </c>
      <c r="J41" s="130" t="n">
        <f aca="false">-J265-J272</f>
        <v>3220</v>
      </c>
      <c r="K41" s="130" t="n">
        <f aca="false">-K265-K272</f>
        <v>2022</v>
      </c>
      <c r="L41" s="130" t="n">
        <f aca="false">-L265-L272</f>
        <v>-0</v>
      </c>
      <c r="M41" s="130" t="n">
        <f aca="false">-M265-M272</f>
        <v>4000</v>
      </c>
      <c r="N41" s="130" t="n">
        <f aca="false">-N265-N272</f>
        <v>4000</v>
      </c>
      <c r="O41" s="130" t="n">
        <f aca="false">-O265-O272</f>
        <v>4000</v>
      </c>
      <c r="P41" s="130" t="n">
        <f aca="false">SUM(D41:O41)</f>
        <v>-19963</v>
      </c>
      <c r="Q41" s="131" t="n">
        <f aca="false">SUM(D41:J41)</f>
        <v>-33985</v>
      </c>
      <c r="R41" s="130" t="n">
        <f aca="false">P41-Q41</f>
        <v>14022</v>
      </c>
      <c r="S41" s="103"/>
      <c r="T41" s="131" t="n">
        <v>-7000</v>
      </c>
      <c r="U41" s="131" t="n">
        <v>-10000</v>
      </c>
      <c r="V41" s="130" t="n">
        <f aca="false">T41-U41</f>
        <v>3000</v>
      </c>
      <c r="W41" s="103"/>
      <c r="X41" s="130"/>
      <c r="Y41" s="130"/>
      <c r="Z41" s="103"/>
      <c r="AA41" s="103" t="str">
        <f aca="false">A41</f>
        <v>   Other Capital Expenditures</v>
      </c>
      <c r="AB41" s="130" t="n">
        <f aca="false">P41</f>
        <v>-19963</v>
      </c>
      <c r="AC41" s="131" t="n">
        <f aca="false">SUM(D41:L41)</f>
        <v>-31963</v>
      </c>
      <c r="AD41" s="130" t="n">
        <f aca="false">AB41-AC41</f>
        <v>12000</v>
      </c>
      <c r="AE41" s="103"/>
      <c r="AF41" s="130" t="n">
        <f aca="false">T41</f>
        <v>-7000</v>
      </c>
      <c r="AG41" s="130" t="n">
        <f aca="false">U41</f>
        <v>-10000</v>
      </c>
      <c r="AH41" s="130" t="n">
        <f aca="false">AF41-AG41</f>
        <v>3000</v>
      </c>
      <c r="AI41" s="103"/>
      <c r="AJ41" s="130" t="n">
        <f aca="false">AC41-AG41</f>
        <v>-21963</v>
      </c>
      <c r="AK41" s="130" t="n">
        <f aca="false">AB41-AF41</f>
        <v>-12963</v>
      </c>
      <c r="AL41" s="103"/>
      <c r="AM41" s="131" t="n">
        <v>-25205</v>
      </c>
      <c r="AN41" s="130" t="n">
        <f aca="false">AB41-AM41</f>
        <v>5242</v>
      </c>
      <c r="AO41" s="103"/>
      <c r="AP41" s="131" t="n">
        <v>-37205</v>
      </c>
      <c r="AQ41" s="130" t="n">
        <f aca="false">AC41-AP41</f>
        <v>5242</v>
      </c>
      <c r="AR41" s="103"/>
      <c r="AS41" s="103"/>
      <c r="AT41" s="103"/>
      <c r="AU41" s="103"/>
    </row>
    <row r="42" customFormat="false" ht="12.75" hidden="false" customHeight="false" outlineLevel="0" collapsed="false">
      <c r="A42" s="132" t="s">
        <v>490</v>
      </c>
      <c r="B42" s="103"/>
      <c r="C42" s="103"/>
      <c r="D42" s="137" t="n">
        <f aca="false">-D261</f>
        <v>-0</v>
      </c>
      <c r="E42" s="137" t="n">
        <f aca="false">-E261</f>
        <v>-0</v>
      </c>
      <c r="F42" s="137" t="n">
        <f aca="false">-F261</f>
        <v>-0</v>
      </c>
      <c r="G42" s="137" t="n">
        <f aca="false">-G261</f>
        <v>-0</v>
      </c>
      <c r="H42" s="137" t="n">
        <f aca="false">-H261</f>
        <v>-0</v>
      </c>
      <c r="I42" s="137" t="n">
        <f aca="false">-I261</f>
        <v>-0</v>
      </c>
      <c r="J42" s="137" t="n">
        <f aca="false">-J261</f>
        <v>-0</v>
      </c>
      <c r="K42" s="137" t="n">
        <f aca="false">-K261</f>
        <v>-0</v>
      </c>
      <c r="L42" s="137" t="n">
        <f aca="false">-L261</f>
        <v>-0</v>
      </c>
      <c r="M42" s="137" t="n">
        <f aca="false">-M261</f>
        <v>-0</v>
      </c>
      <c r="N42" s="137" t="n">
        <f aca="false">-N261</f>
        <v>-0</v>
      </c>
      <c r="O42" s="137" t="n">
        <f aca="false">-O261</f>
        <v>-0</v>
      </c>
      <c r="P42" s="130" t="n">
        <f aca="false">SUM(D42:O42)</f>
        <v>0</v>
      </c>
      <c r="Q42" s="131" t="n">
        <f aca="false">SUM(D42:J42)</f>
        <v>0</v>
      </c>
      <c r="R42" s="130" t="n">
        <f aca="false">P42-Q42</f>
        <v>0</v>
      </c>
      <c r="S42" s="103"/>
      <c r="T42" s="131" t="n">
        <v>0</v>
      </c>
      <c r="U42" s="131" t="n">
        <v>0</v>
      </c>
      <c r="V42" s="130" t="n">
        <f aca="false">T42-U42</f>
        <v>0</v>
      </c>
      <c r="W42" s="103"/>
      <c r="X42" s="103"/>
      <c r="Y42" s="103"/>
      <c r="Z42" s="103"/>
      <c r="AA42" s="103" t="str">
        <f aca="false">A42</f>
        <v>   Other Investments (McDay Energy / Misc.)</v>
      </c>
      <c r="AB42" s="130" t="n">
        <f aca="false">P42</f>
        <v>0</v>
      </c>
      <c r="AC42" s="131" t="n">
        <f aca="false">SUM(D42:L42)</f>
        <v>0</v>
      </c>
      <c r="AD42" s="130" t="n">
        <f aca="false">AB42-AC42</f>
        <v>0</v>
      </c>
      <c r="AE42" s="103"/>
      <c r="AF42" s="130" t="n">
        <f aca="false">T42</f>
        <v>0</v>
      </c>
      <c r="AG42" s="130" t="n">
        <f aca="false">U42</f>
        <v>0</v>
      </c>
      <c r="AH42" s="130" t="n">
        <f aca="false">AF42-AG42</f>
        <v>0</v>
      </c>
      <c r="AI42" s="103"/>
      <c r="AJ42" s="130" t="n">
        <f aca="false">AC42-AG42</f>
        <v>0</v>
      </c>
      <c r="AK42" s="130" t="n">
        <f aca="false">AB42-AF42</f>
        <v>0</v>
      </c>
      <c r="AL42" s="103"/>
      <c r="AM42" s="131" t="n">
        <v>0</v>
      </c>
      <c r="AN42" s="130" t="n">
        <f aca="false">AB42-AM42</f>
        <v>0</v>
      </c>
      <c r="AO42" s="103"/>
      <c r="AP42" s="131" t="n">
        <v>0</v>
      </c>
      <c r="AQ42" s="130" t="n">
        <f aca="false">AC42-AP42</f>
        <v>0</v>
      </c>
      <c r="AR42" s="103"/>
      <c r="AS42" s="103"/>
      <c r="AT42" s="103"/>
      <c r="AU42" s="103"/>
    </row>
    <row r="43" customFormat="false" ht="12.75" hidden="false" customHeight="false" outlineLevel="0" collapsed="false">
      <c r="A43" s="132" t="s">
        <v>491</v>
      </c>
      <c r="B43" s="103"/>
      <c r="C43" s="103"/>
      <c r="D43" s="145" t="n">
        <f aca="false">D281+D282</f>
        <v>4</v>
      </c>
      <c r="E43" s="145" t="n">
        <f aca="false">E281+E282</f>
        <v>11</v>
      </c>
      <c r="F43" s="145" t="n">
        <f aca="false">F281+F282</f>
        <v>-247</v>
      </c>
      <c r="G43" s="145" t="n">
        <f aca="false">G281+G282</f>
        <v>-108</v>
      </c>
      <c r="H43" s="145" t="n">
        <f aca="false">H281+H282-117</f>
        <v>1508</v>
      </c>
      <c r="I43" s="140" t="n">
        <f aca="false">I281+I282+1</f>
        <v>-2197</v>
      </c>
      <c r="J43" s="145" t="n">
        <f aca="false">J281+J282</f>
        <v>8</v>
      </c>
      <c r="K43" s="145" t="n">
        <f aca="false">K281+K282</f>
        <v>0</v>
      </c>
      <c r="L43" s="145" t="n">
        <f aca="false">L281+L282</f>
        <v>0</v>
      </c>
      <c r="M43" s="145" t="n">
        <f aca="false">M281+M282</f>
        <v>0</v>
      </c>
      <c r="N43" s="145" t="n">
        <f aca="false">N281+N282</f>
        <v>0</v>
      </c>
      <c r="O43" s="145" t="n">
        <f aca="false">O281+O282</f>
        <v>0</v>
      </c>
      <c r="P43" s="143" t="n">
        <f aca="false">SUM(D43:O43)</f>
        <v>-1021</v>
      </c>
      <c r="Q43" s="140" t="n">
        <f aca="false">SUM(D43:J43)</f>
        <v>-1021</v>
      </c>
      <c r="R43" s="143" t="n">
        <f aca="false">P43-Q43</f>
        <v>0</v>
      </c>
      <c r="S43" s="103"/>
      <c r="T43" s="140" t="n">
        <v>0</v>
      </c>
      <c r="U43" s="140" t="n">
        <v>0</v>
      </c>
      <c r="V43" s="143" t="n">
        <f aca="false">T43-U43</f>
        <v>0</v>
      </c>
      <c r="W43" s="103"/>
      <c r="X43" s="103"/>
      <c r="Y43" s="103"/>
      <c r="Z43" s="103"/>
      <c r="AA43" s="103" t="str">
        <f aca="false">A43</f>
        <v>   Other (Net Salvage &amp; Removal)</v>
      </c>
      <c r="AB43" s="143" t="n">
        <f aca="false">P43</f>
        <v>-1021</v>
      </c>
      <c r="AC43" s="140" t="n">
        <f aca="false">SUM(D43:L43)</f>
        <v>-1021</v>
      </c>
      <c r="AD43" s="143" t="n">
        <f aca="false">AB43-AC43</f>
        <v>0</v>
      </c>
      <c r="AE43" s="103"/>
      <c r="AF43" s="143" t="n">
        <f aca="false">T43</f>
        <v>0</v>
      </c>
      <c r="AG43" s="143" t="n">
        <f aca="false">U43</f>
        <v>0</v>
      </c>
      <c r="AH43" s="143" t="n">
        <f aca="false">AF43-AG43</f>
        <v>0</v>
      </c>
      <c r="AI43" s="103"/>
      <c r="AJ43" s="143" t="n">
        <f aca="false">AC43-AG43</f>
        <v>-1021</v>
      </c>
      <c r="AK43" s="143" t="n">
        <f aca="false">AB43-AF43</f>
        <v>-1021</v>
      </c>
      <c r="AL43" s="103"/>
      <c r="AM43" s="140" t="n">
        <v>-1030</v>
      </c>
      <c r="AN43" s="143" t="n">
        <f aca="false">AB43-AM43</f>
        <v>9</v>
      </c>
      <c r="AO43" s="103"/>
      <c r="AP43" s="140" t="n">
        <v>-1030</v>
      </c>
      <c r="AQ43" s="143" t="n">
        <f aca="false">AC43-AP43</f>
        <v>9</v>
      </c>
      <c r="AR43" s="103"/>
      <c r="AS43" s="103"/>
      <c r="AT43" s="103"/>
      <c r="AU43" s="103"/>
    </row>
    <row r="44" customFormat="false" ht="3.95" hidden="false" customHeight="true" outlineLevel="0" collapsed="false">
      <c r="A44" s="115"/>
      <c r="B44" s="103"/>
      <c r="C44" s="103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03"/>
      <c r="T44" s="130"/>
      <c r="U44" s="130"/>
      <c r="V44" s="130"/>
      <c r="W44" s="103"/>
      <c r="X44" s="130"/>
      <c r="Y44" s="130"/>
      <c r="Z44" s="103"/>
      <c r="AA44" s="103"/>
      <c r="AB44" s="130"/>
      <c r="AC44" s="130"/>
      <c r="AD44" s="130"/>
      <c r="AE44" s="103"/>
      <c r="AF44" s="130"/>
      <c r="AG44" s="130"/>
      <c r="AH44" s="130"/>
      <c r="AI44" s="103"/>
      <c r="AJ44" s="130"/>
      <c r="AK44" s="130"/>
      <c r="AL44" s="103"/>
      <c r="AM44" s="130"/>
      <c r="AN44" s="130"/>
      <c r="AO44" s="103"/>
      <c r="AP44" s="130"/>
      <c r="AQ44" s="130"/>
      <c r="AR44" s="103"/>
      <c r="AS44" s="103"/>
      <c r="AT44" s="103"/>
      <c r="AU44" s="103"/>
    </row>
    <row r="45" customFormat="false" ht="12.75" hidden="false" customHeight="false" outlineLevel="0" collapsed="false">
      <c r="A45" s="129" t="s">
        <v>492</v>
      </c>
      <c r="B45" s="103"/>
      <c r="C45" s="103"/>
      <c r="D45" s="143" t="n">
        <f aca="false">SUM(D39:D44)</f>
        <v>-46091</v>
      </c>
      <c r="E45" s="143" t="n">
        <f aca="false">SUM(E39:E44)</f>
        <v>-10275</v>
      </c>
      <c r="F45" s="143" t="n">
        <f aca="false">SUM(F39:F44)</f>
        <v>-2504</v>
      </c>
      <c r="G45" s="143" t="n">
        <f aca="false">SUM(G39:G44)</f>
        <v>4995</v>
      </c>
      <c r="H45" s="143" t="n">
        <f aca="false">SUM(H39:H44)</f>
        <v>2576</v>
      </c>
      <c r="I45" s="143" t="n">
        <f aca="false">SUM(I39:I44)</f>
        <v>4295</v>
      </c>
      <c r="J45" s="143" t="n">
        <f aca="false">SUM(J39:J44)</f>
        <v>-2541</v>
      </c>
      <c r="K45" s="143" t="n">
        <f aca="false">SUM(K39:K44)</f>
        <v>-8496</v>
      </c>
      <c r="L45" s="143" t="n">
        <f aca="false">SUM(L39:L44)</f>
        <v>-11400</v>
      </c>
      <c r="M45" s="143" t="n">
        <f aca="false">SUM(M39:M44)</f>
        <v>-8961</v>
      </c>
      <c r="N45" s="143" t="n">
        <f aca="false">SUM(N39:N44)</f>
        <v>-8959</v>
      </c>
      <c r="O45" s="143" t="n">
        <f aca="false">SUM(O39:O44)</f>
        <v>-2270</v>
      </c>
      <c r="P45" s="143" t="n">
        <f aca="false">SUM(P39:P44)</f>
        <v>-89631</v>
      </c>
      <c r="Q45" s="143" t="n">
        <f aca="false">SUM(Q39:Q44)</f>
        <v>-49545</v>
      </c>
      <c r="R45" s="143" t="n">
        <f aca="false">SUM(R39:R44)</f>
        <v>-40086</v>
      </c>
      <c r="S45" s="103"/>
      <c r="T45" s="143" t="n">
        <f aca="false">SUM(T39:T44)</f>
        <v>-83200</v>
      </c>
      <c r="U45" s="143" t="n">
        <f aca="false">SUM(U39:U44)</f>
        <v>-70100</v>
      </c>
      <c r="V45" s="143" t="n">
        <f aca="false">SUM(V39:V44)</f>
        <v>-13100</v>
      </c>
      <c r="W45" s="103"/>
      <c r="X45" s="130"/>
      <c r="Y45" s="130"/>
      <c r="Z45" s="103"/>
      <c r="AA45" s="100" t="str">
        <f aca="false">A45</f>
        <v>      Cash Provided by (Used in) Investing Activities</v>
      </c>
      <c r="AB45" s="143" t="n">
        <f aca="false">SUM(AB39:AB44)</f>
        <v>-89631</v>
      </c>
      <c r="AC45" s="143" t="n">
        <f aca="false">SUM(AC39:AC44)</f>
        <v>-69441</v>
      </c>
      <c r="AD45" s="143" t="n">
        <f aca="false">SUM(AD39:AD44)</f>
        <v>-20190</v>
      </c>
      <c r="AE45" s="103"/>
      <c r="AF45" s="143" t="n">
        <f aca="false">SUM(AF39:AF44)</f>
        <v>-83200</v>
      </c>
      <c r="AG45" s="143" t="n">
        <f aca="false">SUM(AG39:AG44)</f>
        <v>-70100</v>
      </c>
      <c r="AH45" s="143" t="n">
        <f aca="false">SUM(AH39:AH44)</f>
        <v>-13100</v>
      </c>
      <c r="AI45" s="103"/>
      <c r="AJ45" s="143" t="n">
        <f aca="false">SUM(AJ39:AJ44)</f>
        <v>659</v>
      </c>
      <c r="AK45" s="143" t="n">
        <f aca="false">SUM(AK39:AK44)</f>
        <v>-6431</v>
      </c>
      <c r="AL45" s="103"/>
      <c r="AM45" s="143" t="n">
        <f aca="false">SUM(AM39:AM44)</f>
        <v>-98435</v>
      </c>
      <c r="AN45" s="143" t="n">
        <f aca="false">SUM(AN39:AN44)</f>
        <v>8804</v>
      </c>
      <c r="AO45" s="103"/>
      <c r="AP45" s="143" t="n">
        <f aca="false">SUM(AP39:AP44)</f>
        <v>-81776</v>
      </c>
      <c r="AQ45" s="143" t="n">
        <f aca="false">SUM(AQ39:AQ44)</f>
        <v>12335</v>
      </c>
      <c r="AR45" s="103"/>
      <c r="AS45" s="103"/>
      <c r="AT45" s="103"/>
      <c r="AU45" s="103"/>
    </row>
    <row r="46" customFormat="false" ht="6" hidden="false" customHeight="true" outlineLevel="0" collapsed="false">
      <c r="A46" s="115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31"/>
      <c r="AN46" s="131"/>
      <c r="AO46" s="103"/>
      <c r="AP46" s="131"/>
      <c r="AQ46" s="131"/>
      <c r="AR46" s="103"/>
      <c r="AS46" s="103"/>
      <c r="AT46" s="103"/>
      <c r="AU46" s="103"/>
    </row>
    <row r="47" customFormat="false" ht="12.75" hidden="false" customHeight="false" outlineLevel="0" collapsed="false">
      <c r="A47" s="129" t="s">
        <v>493</v>
      </c>
      <c r="B47" s="103"/>
      <c r="C47" s="103"/>
      <c r="D47" s="143" t="n">
        <f aca="false">D36+D45</f>
        <v>31364</v>
      </c>
      <c r="E47" s="143" t="n">
        <f aca="false">E36+E45</f>
        <v>-29096</v>
      </c>
      <c r="F47" s="143" t="n">
        <f aca="false">F36+F45</f>
        <v>8294</v>
      </c>
      <c r="G47" s="143" t="n">
        <f aca="false">G36+G45</f>
        <v>47457</v>
      </c>
      <c r="H47" s="143" t="n">
        <f aca="false">H36+H45</f>
        <v>13345</v>
      </c>
      <c r="I47" s="143" t="n">
        <f aca="false">I36+I45</f>
        <v>-3733</v>
      </c>
      <c r="J47" s="143" t="n">
        <f aca="false">J36+J45</f>
        <v>11701</v>
      </c>
      <c r="K47" s="143" t="n">
        <f aca="false">K36+K45</f>
        <v>11449</v>
      </c>
      <c r="L47" s="143" t="n">
        <f aca="false">L36+L45</f>
        <v>-5400</v>
      </c>
      <c r="M47" s="143" t="n">
        <f aca="false">M36+M45</f>
        <v>-16600</v>
      </c>
      <c r="N47" s="143" t="n">
        <f aca="false">N36+N45</f>
        <v>-22000</v>
      </c>
      <c r="O47" s="143" t="n">
        <f aca="false">O36+O45</f>
        <v>-14300</v>
      </c>
      <c r="P47" s="143" t="n">
        <f aca="false">P36+P45</f>
        <v>32481</v>
      </c>
      <c r="Q47" s="143" t="n">
        <f aca="false">Q36+Q45</f>
        <v>79332</v>
      </c>
      <c r="R47" s="143" t="n">
        <f aca="false">R36+R45</f>
        <v>-46851</v>
      </c>
      <c r="S47" s="103"/>
      <c r="T47" s="143" t="n">
        <f aca="false">T36+T45</f>
        <v>38700</v>
      </c>
      <c r="U47" s="143" t="n">
        <f aca="false">U36+U45</f>
        <v>46900</v>
      </c>
      <c r="V47" s="143" t="n">
        <f aca="false">V36+V45</f>
        <v>-8200</v>
      </c>
      <c r="W47" s="103"/>
      <c r="X47" s="130"/>
      <c r="Y47" s="130"/>
      <c r="Z47" s="103"/>
      <c r="AA47" s="100" t="str">
        <f aca="false">A47</f>
        <v>            Net Cash Flow Before Corporate Adjustments</v>
      </c>
      <c r="AB47" s="143" t="n">
        <f aca="false">AB36+AB45</f>
        <v>32481</v>
      </c>
      <c r="AC47" s="143" t="n">
        <f aca="false">AC36+AC45</f>
        <v>85381</v>
      </c>
      <c r="AD47" s="143" t="n">
        <f aca="false">AD36+AD45</f>
        <v>-52900</v>
      </c>
      <c r="AE47" s="103"/>
      <c r="AF47" s="143" t="n">
        <f aca="false">AF36+AF45</f>
        <v>38700</v>
      </c>
      <c r="AG47" s="143" t="n">
        <f aca="false">AG36+AG45</f>
        <v>46900</v>
      </c>
      <c r="AH47" s="143" t="n">
        <f aca="false">AH36+AH45</f>
        <v>-8200</v>
      </c>
      <c r="AI47" s="103"/>
      <c r="AJ47" s="143" t="n">
        <f aca="false">AJ36+AJ45</f>
        <v>38481</v>
      </c>
      <c r="AK47" s="143" t="n">
        <f aca="false">AK36+AK45</f>
        <v>-6219</v>
      </c>
      <c r="AL47" s="103"/>
      <c r="AM47" s="143" t="n">
        <f aca="false">AM36+AM45</f>
        <v>19489</v>
      </c>
      <c r="AN47" s="143" t="n">
        <f aca="false">AN36+AN45</f>
        <v>12992</v>
      </c>
      <c r="AO47" s="103"/>
      <c r="AP47" s="143" t="n">
        <f aca="false">AP36+AP45</f>
        <v>67539</v>
      </c>
      <c r="AQ47" s="143" t="n">
        <f aca="false">AQ36+AQ45</f>
        <v>17842</v>
      </c>
      <c r="AR47" s="103"/>
      <c r="AS47" s="103"/>
      <c r="AT47" s="103"/>
      <c r="AU47" s="103"/>
    </row>
    <row r="48" customFormat="false" ht="6" hidden="false" customHeight="true" outlineLevel="0" collapsed="false">
      <c r="A48" s="115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</row>
    <row r="49" customFormat="false" ht="12.75" hidden="false" customHeight="true" outlineLevel="0" collapsed="false">
      <c r="A49" s="129" t="s">
        <v>494</v>
      </c>
      <c r="B49" s="103"/>
      <c r="C49" s="103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03"/>
      <c r="Q49" s="103"/>
      <c r="R49" s="103"/>
      <c r="S49" s="103"/>
      <c r="T49" s="130"/>
      <c r="U49" s="103"/>
      <c r="V49" s="103"/>
      <c r="W49" s="103"/>
      <c r="X49" s="103"/>
      <c r="Y49" s="103"/>
      <c r="Z49" s="103"/>
      <c r="AA49" s="100" t="str">
        <f aca="false">A49</f>
        <v>OTHER ITEMS AFFECTING INTERCO. (CORP.) BALANCE</v>
      </c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31"/>
      <c r="AN49" s="103"/>
      <c r="AO49" s="103"/>
      <c r="AP49" s="131"/>
      <c r="AQ49" s="103"/>
      <c r="AR49" s="103"/>
      <c r="AS49" s="103"/>
      <c r="AT49" s="103"/>
      <c r="AU49" s="103"/>
    </row>
    <row r="50" customFormat="false" ht="12.75" hidden="false" customHeight="true" outlineLevel="0" collapsed="false">
      <c r="A50" s="132" t="s">
        <v>495</v>
      </c>
      <c r="B50" s="103"/>
      <c r="C50" s="103"/>
      <c r="D50" s="130" t="n">
        <f aca="false">BACKUP!D496</f>
        <v>0</v>
      </c>
      <c r="E50" s="130" t="n">
        <f aca="false">BACKUP!E496</f>
        <v>0</v>
      </c>
      <c r="F50" s="130" t="n">
        <f aca="false">BACKUP!F496</f>
        <v>0</v>
      </c>
      <c r="G50" s="130" t="n">
        <f aca="false">BACKUP!G496</f>
        <v>0</v>
      </c>
      <c r="H50" s="130" t="n">
        <f aca="false">BACKUP!H496</f>
        <v>0</v>
      </c>
      <c r="I50" s="130" t="n">
        <f aca="false">BACKUP!I496</f>
        <v>0</v>
      </c>
      <c r="J50" s="130" t="n">
        <f aca="false">BACKUP!J496</f>
        <v>0</v>
      </c>
      <c r="K50" s="130" t="n">
        <f aca="false">BACKUP!K496</f>
        <v>0</v>
      </c>
      <c r="L50" s="130" t="n">
        <f aca="false">BACKUP!L496</f>
        <v>0</v>
      </c>
      <c r="M50" s="130" t="n">
        <f aca="false">BACKUP!M496</f>
        <v>0</v>
      </c>
      <c r="N50" s="130" t="n">
        <f aca="false">BACKUP!N496</f>
        <v>0</v>
      </c>
      <c r="O50" s="130" t="n">
        <f aca="false">BACKUP!O496</f>
        <v>0</v>
      </c>
      <c r="P50" s="130" t="n">
        <f aca="false">SUM(D50:O50)</f>
        <v>0</v>
      </c>
      <c r="Q50" s="131" t="n">
        <f aca="false">SUM(D50:J50)</f>
        <v>0</v>
      </c>
      <c r="R50" s="130" t="n">
        <f aca="false">P50-Q50</f>
        <v>0</v>
      </c>
      <c r="S50" s="103"/>
      <c r="T50" s="131" t="n">
        <v>0</v>
      </c>
      <c r="U50" s="131" t="n">
        <v>0</v>
      </c>
      <c r="V50" s="130" t="n">
        <f aca="false">T50-U50</f>
        <v>0</v>
      </c>
      <c r="W50" s="103"/>
      <c r="X50" s="130"/>
      <c r="Y50" s="130"/>
      <c r="Z50" s="103"/>
      <c r="AA50" s="103" t="str">
        <f aca="false">A50</f>
        <v>   Dividends Transferred to EPC </v>
      </c>
      <c r="AB50" s="130" t="n">
        <f aca="false">P50</f>
        <v>0</v>
      </c>
      <c r="AC50" s="131" t="n">
        <f aca="false">SUM(D50:L50)</f>
        <v>0</v>
      </c>
      <c r="AD50" s="130" t="n">
        <f aca="false">AB50-AC50</f>
        <v>0</v>
      </c>
      <c r="AE50" s="103"/>
      <c r="AF50" s="130" t="n">
        <f aca="false">T50</f>
        <v>0</v>
      </c>
      <c r="AG50" s="130" t="n">
        <f aca="false">U50</f>
        <v>0</v>
      </c>
      <c r="AH50" s="130" t="n">
        <f aca="false">AF50-AG50</f>
        <v>0</v>
      </c>
      <c r="AI50" s="103"/>
      <c r="AJ50" s="130" t="n">
        <f aca="false">AC50-AG50</f>
        <v>0</v>
      </c>
      <c r="AK50" s="130" t="n">
        <f aca="false">AB50-AF50</f>
        <v>0</v>
      </c>
      <c r="AL50" s="103"/>
      <c r="AM50" s="131" t="n">
        <v>0</v>
      </c>
      <c r="AN50" s="130" t="n">
        <f aca="false">AB50-AM50</f>
        <v>0</v>
      </c>
      <c r="AO50" s="103"/>
      <c r="AP50" s="131" t="n">
        <v>0</v>
      </c>
      <c r="AQ50" s="130" t="n">
        <f aca="false">AC50-AP50</f>
        <v>0</v>
      </c>
      <c r="AR50" s="103"/>
      <c r="AS50" s="103"/>
      <c r="AT50" s="103"/>
      <c r="AU50" s="103"/>
    </row>
    <row r="51" customFormat="false" ht="12.75" hidden="false" customHeight="true" outlineLevel="0" collapsed="false">
      <c r="A51" s="132" t="s">
        <v>496</v>
      </c>
      <c r="B51" s="103"/>
      <c r="C51" s="103"/>
      <c r="D51" s="146" t="n">
        <f aca="false">SUM(D349:D351)</f>
        <v>0</v>
      </c>
      <c r="E51" s="146" t="n">
        <f aca="false">SUM(E349:E351)</f>
        <v>0</v>
      </c>
      <c r="F51" s="146" t="n">
        <f aca="false">SUM(F349:F351)</f>
        <v>0</v>
      </c>
      <c r="G51" s="146" t="n">
        <f aca="false">SUM(G349:G351)</f>
        <v>0</v>
      </c>
      <c r="H51" s="146" t="n">
        <f aca="false">SUM(H349:H351)</f>
        <v>0</v>
      </c>
      <c r="I51" s="146" t="n">
        <f aca="false">SUM(I349:I351)</f>
        <v>0</v>
      </c>
      <c r="J51" s="146" t="n">
        <f aca="false">SUM(J349:J351)</f>
        <v>0</v>
      </c>
      <c r="K51" s="146" t="n">
        <f aca="false">SUM(K349:K351)</f>
        <v>0</v>
      </c>
      <c r="L51" s="146" t="n">
        <f aca="false">SUM(L349:L351)</f>
        <v>0</v>
      </c>
      <c r="M51" s="146" t="n">
        <f aca="false">SUM(M349:M351)</f>
        <v>0</v>
      </c>
      <c r="N51" s="146" t="n">
        <f aca="false">SUM(N349:N351)</f>
        <v>0</v>
      </c>
      <c r="O51" s="146" t="n">
        <f aca="false">SUM(O349:O351)</f>
        <v>0</v>
      </c>
      <c r="P51" s="130" t="n">
        <f aca="false">SUM(D51:O51)</f>
        <v>0</v>
      </c>
      <c r="Q51" s="131" t="n">
        <f aca="false">SUM(D51:J51)</f>
        <v>0</v>
      </c>
      <c r="R51" s="130" t="n">
        <f aca="false">P51-Q51</f>
        <v>0</v>
      </c>
      <c r="S51" s="103"/>
      <c r="T51" s="131" t="n">
        <v>0</v>
      </c>
      <c r="U51" s="131" t="n">
        <v>0</v>
      </c>
      <c r="V51" s="130" t="n">
        <f aca="false">T51-U51</f>
        <v>0</v>
      </c>
      <c r="W51" s="103"/>
      <c r="X51" s="130"/>
      <c r="Y51" s="130"/>
      <c r="Z51" s="103"/>
      <c r="AA51" s="103" t="str">
        <f aca="false">A51</f>
        <v>   Inc. / (Dec.) in Long-Term Debt  (External)</v>
      </c>
      <c r="AB51" s="130" t="n">
        <f aca="false">P51</f>
        <v>0</v>
      </c>
      <c r="AC51" s="131" t="n">
        <f aca="false">SUM(D51:L51)</f>
        <v>0</v>
      </c>
      <c r="AD51" s="130" t="n">
        <f aca="false">AB51-AC51</f>
        <v>0</v>
      </c>
      <c r="AE51" s="103"/>
      <c r="AF51" s="130" t="n">
        <f aca="false">T51</f>
        <v>0</v>
      </c>
      <c r="AG51" s="130" t="n">
        <f aca="false">U51</f>
        <v>0</v>
      </c>
      <c r="AH51" s="130" t="n">
        <f aca="false">AF51-AG51</f>
        <v>0</v>
      </c>
      <c r="AI51" s="103"/>
      <c r="AJ51" s="130" t="n">
        <f aca="false">AC51-AG51</f>
        <v>0</v>
      </c>
      <c r="AK51" s="130" t="n">
        <f aca="false">AB51-AF51</f>
        <v>0</v>
      </c>
      <c r="AL51" s="103"/>
      <c r="AM51" s="131" t="n">
        <v>0</v>
      </c>
      <c r="AN51" s="130" t="n">
        <f aca="false">AB51-AM51</f>
        <v>0</v>
      </c>
      <c r="AO51" s="103"/>
      <c r="AP51" s="131" t="n">
        <v>0</v>
      </c>
      <c r="AQ51" s="130" t="n">
        <f aca="false">AC51-AP51</f>
        <v>0</v>
      </c>
      <c r="AR51" s="103"/>
      <c r="AS51" s="103"/>
      <c r="AT51" s="103"/>
      <c r="AU51" s="103"/>
    </row>
    <row r="52" customFormat="false" ht="12.75" hidden="false" customHeight="true" outlineLevel="0" collapsed="false">
      <c r="A52" s="132" t="s">
        <v>497</v>
      </c>
      <c r="B52" s="103"/>
      <c r="C52" s="103"/>
      <c r="D52" s="131" t="n">
        <v>0</v>
      </c>
      <c r="E52" s="131" t="n">
        <v>0</v>
      </c>
      <c r="F52" s="131" t="n">
        <v>0</v>
      </c>
      <c r="G52" s="131" t="n">
        <v>0</v>
      </c>
      <c r="H52" s="131" t="n">
        <v>0</v>
      </c>
      <c r="I52" s="131" t="n">
        <v>0</v>
      </c>
      <c r="J52" s="131" t="n">
        <v>0</v>
      </c>
      <c r="K52" s="131" t="n">
        <v>0</v>
      </c>
      <c r="L52" s="131" t="n">
        <v>0</v>
      </c>
      <c r="M52" s="131" t="n">
        <v>0</v>
      </c>
      <c r="N52" s="131" t="n">
        <v>0</v>
      </c>
      <c r="O52" s="131" t="n">
        <v>0</v>
      </c>
      <c r="P52" s="130" t="n">
        <f aca="false">SUM(D52:O52)</f>
        <v>0</v>
      </c>
      <c r="Q52" s="131" t="n">
        <f aca="false">SUM(D52:J52)</f>
        <v>0</v>
      </c>
      <c r="R52" s="130" t="n">
        <f aca="false">P52-Q52</f>
        <v>0</v>
      </c>
      <c r="S52" s="103"/>
      <c r="T52" s="131" t="n">
        <v>0</v>
      </c>
      <c r="U52" s="131" t="n">
        <v>0</v>
      </c>
      <c r="V52" s="130" t="n">
        <f aca="false">T52-U52</f>
        <v>0</v>
      </c>
      <c r="W52" s="103"/>
      <c r="X52" s="103"/>
      <c r="Y52" s="103"/>
      <c r="Z52" s="103"/>
      <c r="AA52" s="103" t="str">
        <f aca="false">A52</f>
        <v>   Inc. / (Dec.) in Long-Term Debt Discount </v>
      </c>
      <c r="AB52" s="130" t="n">
        <f aca="false">P52</f>
        <v>0</v>
      </c>
      <c r="AC52" s="131" t="n">
        <f aca="false">SUM(D52:L52)</f>
        <v>0</v>
      </c>
      <c r="AD52" s="130" t="n">
        <f aca="false">AB52-AC52</f>
        <v>0</v>
      </c>
      <c r="AE52" s="103"/>
      <c r="AF52" s="130" t="n">
        <f aca="false">T52</f>
        <v>0</v>
      </c>
      <c r="AG52" s="130" t="n">
        <f aca="false">U52</f>
        <v>0</v>
      </c>
      <c r="AH52" s="130" t="n">
        <f aca="false">AF52-AG52</f>
        <v>0</v>
      </c>
      <c r="AI52" s="103"/>
      <c r="AJ52" s="130" t="n">
        <f aca="false">AC52-AG52</f>
        <v>0</v>
      </c>
      <c r="AK52" s="130" t="n">
        <f aca="false">AB52-AF52</f>
        <v>0</v>
      </c>
      <c r="AL52" s="103"/>
      <c r="AM52" s="131" t="n">
        <v>0</v>
      </c>
      <c r="AN52" s="130" t="n">
        <f aca="false">AB52-AM52</f>
        <v>0</v>
      </c>
      <c r="AO52" s="103"/>
      <c r="AP52" s="131" t="n">
        <v>0</v>
      </c>
      <c r="AQ52" s="130" t="n">
        <f aca="false">AC52-AP52</f>
        <v>0</v>
      </c>
      <c r="AR52" s="103"/>
      <c r="AS52" s="103"/>
      <c r="AT52" s="103"/>
      <c r="AU52" s="103"/>
    </row>
    <row r="53" customFormat="false" ht="12.75" hidden="false" customHeight="true" outlineLevel="0" collapsed="false">
      <c r="A53" s="132" t="s">
        <v>498</v>
      </c>
      <c r="B53" s="103"/>
      <c r="C53" s="103"/>
      <c r="D53" s="147" t="n">
        <f aca="false">D364</f>
        <v>0</v>
      </c>
      <c r="E53" s="147" t="n">
        <f aca="false">E364</f>
        <v>0</v>
      </c>
      <c r="F53" s="147" t="n">
        <f aca="false">F364</f>
        <v>0</v>
      </c>
      <c r="G53" s="147" t="n">
        <f aca="false">G364</f>
        <v>0</v>
      </c>
      <c r="H53" s="147" t="n">
        <f aca="false">H364</f>
        <v>0</v>
      </c>
      <c r="I53" s="147" t="n">
        <f aca="false">I364</f>
        <v>0</v>
      </c>
      <c r="J53" s="147" t="n">
        <f aca="false">J364</f>
        <v>0</v>
      </c>
      <c r="K53" s="147" t="n">
        <f aca="false">K364</f>
        <v>0</v>
      </c>
      <c r="L53" s="147" t="n">
        <f aca="false">L364</f>
        <v>0</v>
      </c>
      <c r="M53" s="147" t="n">
        <f aca="false">M364</f>
        <v>0</v>
      </c>
      <c r="N53" s="147" t="n">
        <f aca="false">N364</f>
        <v>0</v>
      </c>
      <c r="O53" s="147" t="n">
        <f aca="false">O364</f>
        <v>0</v>
      </c>
      <c r="P53" s="143" t="n">
        <f aca="false">SUM(D53:O53)</f>
        <v>0</v>
      </c>
      <c r="Q53" s="140" t="n">
        <f aca="false">SUM(D53:J53)</f>
        <v>0</v>
      </c>
      <c r="R53" s="143" t="n">
        <f aca="false">P53-Q53</f>
        <v>0</v>
      </c>
      <c r="S53" s="103"/>
      <c r="T53" s="142" t="n">
        <v>0</v>
      </c>
      <c r="U53" s="142" t="n">
        <v>0</v>
      </c>
      <c r="V53" s="143" t="n">
        <f aca="false">T53-U53</f>
        <v>0</v>
      </c>
      <c r="W53" s="103"/>
      <c r="X53" s="103"/>
      <c r="Y53" s="103"/>
      <c r="Z53" s="103"/>
      <c r="AA53" s="103" t="str">
        <f aca="false">A53</f>
        <v>   Contribution from Parent </v>
      </c>
      <c r="AB53" s="143" t="n">
        <f aca="false">P53</f>
        <v>0</v>
      </c>
      <c r="AC53" s="140" t="n">
        <f aca="false">SUM(D53:L53)</f>
        <v>0</v>
      </c>
      <c r="AD53" s="143" t="n">
        <f aca="false">AB53-AC53</f>
        <v>0</v>
      </c>
      <c r="AE53" s="103"/>
      <c r="AF53" s="143" t="n">
        <f aca="false">T53</f>
        <v>0</v>
      </c>
      <c r="AG53" s="143" t="n">
        <f aca="false">U53</f>
        <v>0</v>
      </c>
      <c r="AH53" s="143" t="n">
        <f aca="false">AF53-AG53</f>
        <v>0</v>
      </c>
      <c r="AI53" s="103"/>
      <c r="AJ53" s="143" t="n">
        <f aca="false">AC53-AG53</f>
        <v>0</v>
      </c>
      <c r="AK53" s="143" t="n">
        <f aca="false">AB53-AF53</f>
        <v>0</v>
      </c>
      <c r="AL53" s="103"/>
      <c r="AM53" s="140" t="n">
        <v>0</v>
      </c>
      <c r="AN53" s="143" t="n">
        <f aca="false">AB53-AM53</f>
        <v>0</v>
      </c>
      <c r="AO53" s="103"/>
      <c r="AP53" s="140" t="n">
        <v>0</v>
      </c>
      <c r="AQ53" s="143" t="n">
        <f aca="false">AC53-AP53</f>
        <v>0</v>
      </c>
      <c r="AR53" s="103"/>
      <c r="AS53" s="103"/>
      <c r="AT53" s="103"/>
      <c r="AU53" s="103"/>
    </row>
    <row r="54" customFormat="false" ht="3.95" hidden="false" customHeight="true" outlineLevel="0" collapsed="false">
      <c r="A54" s="115"/>
      <c r="B54" s="103"/>
      <c r="C54" s="103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03"/>
      <c r="T54" s="130"/>
      <c r="U54" s="130"/>
      <c r="V54" s="130"/>
      <c r="W54" s="103"/>
      <c r="X54" s="130"/>
      <c r="Y54" s="130"/>
      <c r="Z54" s="103"/>
      <c r="AA54" s="103"/>
      <c r="AB54" s="130"/>
      <c r="AC54" s="130"/>
      <c r="AD54" s="130"/>
      <c r="AE54" s="103"/>
      <c r="AF54" s="130"/>
      <c r="AG54" s="130"/>
      <c r="AH54" s="130"/>
      <c r="AI54" s="103"/>
      <c r="AJ54" s="130"/>
      <c r="AK54" s="130"/>
      <c r="AL54" s="103"/>
      <c r="AM54" s="130"/>
      <c r="AN54" s="130"/>
      <c r="AO54" s="103"/>
      <c r="AP54" s="130"/>
      <c r="AQ54" s="130"/>
      <c r="AR54" s="103"/>
      <c r="AS54" s="103"/>
      <c r="AT54" s="103"/>
      <c r="AU54" s="103"/>
    </row>
    <row r="55" customFormat="false" ht="12.75" hidden="false" customHeight="true" outlineLevel="0" collapsed="false">
      <c r="A55" s="129" t="s">
        <v>499</v>
      </c>
      <c r="B55" s="103"/>
      <c r="C55" s="103"/>
      <c r="D55" s="143" t="n">
        <f aca="false">SUM(D50:D54)</f>
        <v>0</v>
      </c>
      <c r="E55" s="143" t="n">
        <f aca="false">SUM(E50:E54)</f>
        <v>0</v>
      </c>
      <c r="F55" s="143" t="n">
        <f aca="false">SUM(F50:F54)</f>
        <v>0</v>
      </c>
      <c r="G55" s="143" t="n">
        <f aca="false">SUM(G50:G54)</f>
        <v>0</v>
      </c>
      <c r="H55" s="143" t="n">
        <f aca="false">SUM(H50:H54)</f>
        <v>0</v>
      </c>
      <c r="I55" s="143" t="n">
        <f aca="false">SUM(I50:I54)</f>
        <v>0</v>
      </c>
      <c r="J55" s="143" t="n">
        <f aca="false">SUM(J50:J54)</f>
        <v>0</v>
      </c>
      <c r="K55" s="143" t="n">
        <f aca="false">SUM(K50:K54)</f>
        <v>0</v>
      </c>
      <c r="L55" s="143" t="n">
        <f aca="false">SUM(L50:L54)</f>
        <v>0</v>
      </c>
      <c r="M55" s="143" t="n">
        <f aca="false">SUM(M50:M54)</f>
        <v>0</v>
      </c>
      <c r="N55" s="143" t="n">
        <f aca="false">SUM(N50:N54)</f>
        <v>0</v>
      </c>
      <c r="O55" s="143" t="n">
        <f aca="false">SUM(O50:O54)</f>
        <v>0</v>
      </c>
      <c r="P55" s="143" t="n">
        <f aca="false">SUM(P50:P54)</f>
        <v>0</v>
      </c>
      <c r="Q55" s="143" t="n">
        <f aca="false">SUM(Q50:Q54)</f>
        <v>0</v>
      </c>
      <c r="R55" s="143" t="n">
        <f aca="false">SUM(R50:R54)</f>
        <v>0</v>
      </c>
      <c r="S55" s="103"/>
      <c r="T55" s="143" t="n">
        <f aca="false">SUM(T50:T54)</f>
        <v>0</v>
      </c>
      <c r="U55" s="143" t="n">
        <f aca="false">SUM(U50:U54)</f>
        <v>0</v>
      </c>
      <c r="V55" s="143" t="n">
        <f aca="false">SUM(V50:V54)</f>
        <v>0</v>
      </c>
      <c r="W55" s="103"/>
      <c r="X55" s="130"/>
      <c r="Y55" s="130"/>
      <c r="Z55" s="103"/>
      <c r="AA55" s="100" t="str">
        <f aca="false">A55</f>
        <v>      Total Items Affecting Intercompany (Corp.) Balance</v>
      </c>
      <c r="AB55" s="143" t="n">
        <f aca="false">SUM(AB50:AB54)</f>
        <v>0</v>
      </c>
      <c r="AC55" s="143" t="n">
        <f aca="false">SUM(AC50:AC54)</f>
        <v>0</v>
      </c>
      <c r="AD55" s="143" t="n">
        <f aca="false">SUM(AD50:AD54)</f>
        <v>0</v>
      </c>
      <c r="AE55" s="103"/>
      <c r="AF55" s="143" t="n">
        <f aca="false">SUM(AF50:AF54)</f>
        <v>0</v>
      </c>
      <c r="AG55" s="143" t="n">
        <f aca="false">SUM(AG50:AG54)</f>
        <v>0</v>
      </c>
      <c r="AH55" s="143" t="n">
        <f aca="false">SUM(AH50:AH54)</f>
        <v>0</v>
      </c>
      <c r="AI55" s="103"/>
      <c r="AJ55" s="143" t="n">
        <f aca="false">SUM(AJ50:AJ54)</f>
        <v>0</v>
      </c>
      <c r="AK55" s="143" t="n">
        <f aca="false">SUM(AK50:AK54)</f>
        <v>0</v>
      </c>
      <c r="AL55" s="103"/>
      <c r="AM55" s="143" t="n">
        <f aca="false">SUM(AM50:AM54)</f>
        <v>0</v>
      </c>
      <c r="AN55" s="143" t="n">
        <f aca="false">SUM(AN50:AN54)</f>
        <v>0</v>
      </c>
      <c r="AO55" s="103"/>
      <c r="AP55" s="143" t="n">
        <f aca="false">SUM(AP50:AP54)</f>
        <v>0</v>
      </c>
      <c r="AQ55" s="143" t="n">
        <f aca="false">SUM(AQ50:AQ54)</f>
        <v>0</v>
      </c>
      <c r="AR55" s="103"/>
      <c r="AS55" s="103"/>
      <c r="AT55" s="103"/>
      <c r="AU55" s="103"/>
    </row>
    <row r="56" customFormat="false" ht="6" hidden="false" customHeight="true" outlineLevel="0" collapsed="false">
      <c r="A56" s="115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31"/>
      <c r="AN56" s="103"/>
      <c r="AO56" s="103"/>
      <c r="AP56" s="131"/>
      <c r="AQ56" s="103"/>
      <c r="AR56" s="103"/>
      <c r="AS56" s="103"/>
      <c r="AT56" s="103"/>
      <c r="AU56" s="103"/>
    </row>
    <row r="57" customFormat="false" ht="12.75" hidden="false" customHeight="false" outlineLevel="0" collapsed="false">
      <c r="A57" s="129" t="s">
        <v>500</v>
      </c>
      <c r="B57" s="103"/>
      <c r="C57" s="103"/>
      <c r="D57" s="130" t="n">
        <f aca="false">D47+D55</f>
        <v>31364</v>
      </c>
      <c r="E57" s="130" t="n">
        <f aca="false">E47+E55</f>
        <v>-29096</v>
      </c>
      <c r="F57" s="130" t="n">
        <f aca="false">F47+F55</f>
        <v>8294</v>
      </c>
      <c r="G57" s="130" t="n">
        <f aca="false">G47+G55</f>
        <v>47457</v>
      </c>
      <c r="H57" s="130" t="n">
        <f aca="false">H47+H55</f>
        <v>13345</v>
      </c>
      <c r="I57" s="130" t="n">
        <f aca="false">I47+I55</f>
        <v>-3733</v>
      </c>
      <c r="J57" s="130" t="n">
        <f aca="false">J47+J55</f>
        <v>11701</v>
      </c>
      <c r="K57" s="130" t="n">
        <f aca="false">K47+K55</f>
        <v>11449</v>
      </c>
      <c r="L57" s="130" t="n">
        <f aca="false">L47+L55</f>
        <v>-5400</v>
      </c>
      <c r="M57" s="130" t="n">
        <f aca="false">M47+M55</f>
        <v>-16600</v>
      </c>
      <c r="N57" s="130" t="n">
        <f aca="false">N47+N55</f>
        <v>-22000</v>
      </c>
      <c r="O57" s="130" t="n">
        <f aca="false">O47+O55</f>
        <v>-14300</v>
      </c>
      <c r="P57" s="130" t="n">
        <f aca="false">P47+P55</f>
        <v>32481</v>
      </c>
      <c r="Q57" s="130" t="n">
        <f aca="false">Q47+Q55</f>
        <v>79332</v>
      </c>
      <c r="R57" s="130" t="n">
        <f aca="false">R47+R55</f>
        <v>-46851</v>
      </c>
      <c r="S57" s="103"/>
      <c r="T57" s="130" t="n">
        <f aca="false">T47+T55</f>
        <v>38700</v>
      </c>
      <c r="U57" s="130" t="n">
        <f aca="false">U47+U55</f>
        <v>46900</v>
      </c>
      <c r="V57" s="130" t="n">
        <f aca="false">V47+V55</f>
        <v>-8200</v>
      </c>
      <c r="W57" s="103"/>
      <c r="X57" s="103"/>
      <c r="Y57" s="103"/>
      <c r="Z57" s="103"/>
      <c r="AA57" s="100" t="str">
        <f aca="false">A57</f>
        <v>INCREASE / (DECREASE) IN INTERCOMPANY CASH</v>
      </c>
      <c r="AB57" s="130" t="n">
        <f aca="false">AB47+AB55</f>
        <v>32481</v>
      </c>
      <c r="AC57" s="130" t="n">
        <f aca="false">AC47+AC55</f>
        <v>85381</v>
      </c>
      <c r="AD57" s="130" t="n">
        <f aca="false">AD47+AD55</f>
        <v>-52900</v>
      </c>
      <c r="AE57" s="103"/>
      <c r="AF57" s="130" t="n">
        <f aca="false">AF47+AF55</f>
        <v>38700</v>
      </c>
      <c r="AG57" s="130" t="n">
        <f aca="false">AG47+AG55</f>
        <v>46900</v>
      </c>
      <c r="AH57" s="130" t="n">
        <f aca="false">AH47+AH55</f>
        <v>-8200</v>
      </c>
      <c r="AI57" s="103"/>
      <c r="AJ57" s="130" t="n">
        <f aca="false">AJ47+AJ55</f>
        <v>38481</v>
      </c>
      <c r="AK57" s="130" t="n">
        <f aca="false">AK47+AK55</f>
        <v>-6219</v>
      </c>
      <c r="AL57" s="103"/>
      <c r="AM57" s="130" t="n">
        <f aca="false">AM47+AM55</f>
        <v>19489</v>
      </c>
      <c r="AN57" s="130" t="n">
        <f aca="false">AN47+AN55</f>
        <v>12992</v>
      </c>
      <c r="AO57" s="103"/>
      <c r="AP57" s="130" t="n">
        <f aca="false">AP47+AP55</f>
        <v>67539</v>
      </c>
      <c r="AQ57" s="130" t="n">
        <f aca="false">AQ47+AQ55</f>
        <v>17842</v>
      </c>
      <c r="AR57" s="103"/>
      <c r="AS57" s="103"/>
      <c r="AT57" s="103"/>
      <c r="AU57" s="103"/>
    </row>
    <row r="58" customFormat="false" ht="6" hidden="false" customHeight="true" outlineLevel="0" collapsed="false">
      <c r="A58" s="115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</row>
    <row r="59" customFormat="false" ht="12.75" hidden="false" customHeight="false" outlineLevel="0" collapsed="false">
      <c r="A59" s="129" t="s">
        <v>501</v>
      </c>
      <c r="B59" s="103"/>
      <c r="C59" s="103"/>
      <c r="D59" s="147" t="n">
        <f aca="false">-BACKUP!D438-BACKUP!D487</f>
        <v>-6</v>
      </c>
      <c r="E59" s="147" t="n">
        <f aca="false">-BACKUP!E438-BACKUP!E487</f>
        <v>-6</v>
      </c>
      <c r="F59" s="147" t="n">
        <f aca="false">-BACKUP!F438-BACKUP!F487</f>
        <v>-7</v>
      </c>
      <c r="G59" s="147" t="n">
        <f aca="false">-BACKUP!G438-BACKUP!G487</f>
        <v>-6</v>
      </c>
      <c r="H59" s="147" t="n">
        <f aca="false">-BACKUP!H438-BACKUP!H487</f>
        <v>-7</v>
      </c>
      <c r="I59" s="147" t="n">
        <f aca="false">-BACKUP!I438-BACKUP!I487</f>
        <v>-6</v>
      </c>
      <c r="J59" s="147" t="n">
        <f aca="false">-BACKUP!J438-BACKUP!J487</f>
        <v>-7</v>
      </c>
      <c r="K59" s="147" t="n">
        <f aca="false">-BACKUP!K438-BACKUP!K487</f>
        <v>-6</v>
      </c>
      <c r="L59" s="147" t="n">
        <f aca="false">-BACKUP!L438-BACKUP!L487</f>
        <v>-7</v>
      </c>
      <c r="M59" s="147" t="n">
        <f aca="false">-BACKUP!M438-BACKUP!M487</f>
        <v>-6</v>
      </c>
      <c r="N59" s="147" t="n">
        <f aca="false">-BACKUP!N438-BACKUP!N487</f>
        <v>-7</v>
      </c>
      <c r="O59" s="147" t="n">
        <f aca="false">-BACKUP!O438-BACKUP!O487</f>
        <v>-6</v>
      </c>
      <c r="P59" s="143" t="n">
        <f aca="false">SUM(D59:O59)</f>
        <v>-77</v>
      </c>
      <c r="Q59" s="140" t="n">
        <f aca="false">SUM(D59:J59)</f>
        <v>-45</v>
      </c>
      <c r="R59" s="143" t="n">
        <f aca="false">P59-Q59</f>
        <v>-32</v>
      </c>
      <c r="S59" s="103"/>
      <c r="T59" s="140" t="n">
        <v>-77</v>
      </c>
      <c r="U59" s="140" t="n">
        <v>-58</v>
      </c>
      <c r="V59" s="143" t="n">
        <f aca="false">T59-U59</f>
        <v>-19</v>
      </c>
      <c r="W59" s="103"/>
      <c r="X59" s="103"/>
      <c r="Y59" s="103"/>
      <c r="Z59" s="103"/>
      <c r="AA59" s="100" t="str">
        <f aca="false">A59</f>
        <v>      Change in Other Obligations</v>
      </c>
      <c r="AB59" s="143" t="n">
        <f aca="false">P59</f>
        <v>-77</v>
      </c>
      <c r="AC59" s="140" t="n">
        <f aca="false">SUM(D59:L59)</f>
        <v>-58</v>
      </c>
      <c r="AD59" s="143" t="n">
        <f aca="false">AB59-AC59</f>
        <v>-19</v>
      </c>
      <c r="AE59" s="103"/>
      <c r="AF59" s="143" t="n">
        <f aca="false">T59</f>
        <v>-77</v>
      </c>
      <c r="AG59" s="143" t="n">
        <f aca="false">U59</f>
        <v>-58</v>
      </c>
      <c r="AH59" s="143" t="n">
        <f aca="false">AF59-AG59</f>
        <v>-19</v>
      </c>
      <c r="AI59" s="103"/>
      <c r="AJ59" s="143" t="n">
        <f aca="false">AC59-AG59</f>
        <v>0</v>
      </c>
      <c r="AK59" s="143" t="n">
        <f aca="false">AB59-AF59</f>
        <v>0</v>
      </c>
      <c r="AL59" s="103"/>
      <c r="AM59" s="140" t="n">
        <v>-77</v>
      </c>
      <c r="AN59" s="143" t="n">
        <f aca="false">AB59-AM59</f>
        <v>0</v>
      </c>
      <c r="AO59" s="103"/>
      <c r="AP59" s="140" t="n">
        <v>-58</v>
      </c>
      <c r="AQ59" s="143" t="n">
        <f aca="false">AC59-AP59</f>
        <v>0</v>
      </c>
      <c r="AR59" s="103"/>
      <c r="AS59" s="103"/>
      <c r="AT59" s="103"/>
      <c r="AU59" s="103"/>
    </row>
    <row r="60" customFormat="false" ht="6" hidden="false" customHeight="true" outlineLevel="0" collapsed="false">
      <c r="A60" s="115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</row>
    <row r="61" customFormat="false" ht="12.75" hidden="false" customHeight="false" outlineLevel="0" collapsed="false">
      <c r="A61" s="129" t="s">
        <v>502</v>
      </c>
      <c r="B61" s="103"/>
      <c r="C61" s="103"/>
      <c r="D61" s="148" t="n">
        <f aca="false">D57+D59</f>
        <v>31358</v>
      </c>
      <c r="E61" s="148" t="n">
        <f aca="false">E57+E59</f>
        <v>-29102</v>
      </c>
      <c r="F61" s="148" t="n">
        <f aca="false">F57+F59</f>
        <v>8287</v>
      </c>
      <c r="G61" s="148" t="n">
        <f aca="false">G57+G59</f>
        <v>47451</v>
      </c>
      <c r="H61" s="148" t="n">
        <f aca="false">H57+H59</f>
        <v>13338</v>
      </c>
      <c r="I61" s="148" t="n">
        <f aca="false">I57+I59</f>
        <v>-3739</v>
      </c>
      <c r="J61" s="148" t="n">
        <f aca="false">J57+J59</f>
        <v>11694</v>
      </c>
      <c r="K61" s="148" t="n">
        <f aca="false">K57+K59</f>
        <v>11443</v>
      </c>
      <c r="L61" s="148" t="n">
        <f aca="false">L57+L59</f>
        <v>-5407</v>
      </c>
      <c r="M61" s="148" t="n">
        <f aca="false">M57+M59</f>
        <v>-16606</v>
      </c>
      <c r="N61" s="148" t="n">
        <f aca="false">N57+N59</f>
        <v>-22007</v>
      </c>
      <c r="O61" s="148" t="n">
        <f aca="false">O57+O59</f>
        <v>-14306</v>
      </c>
      <c r="P61" s="148" t="n">
        <f aca="false">P57+P59</f>
        <v>32404</v>
      </c>
      <c r="Q61" s="148" t="n">
        <f aca="false">Q57+Q59</f>
        <v>79287</v>
      </c>
      <c r="R61" s="148" t="n">
        <f aca="false">R57+R59</f>
        <v>-46883</v>
      </c>
      <c r="S61" s="103"/>
      <c r="T61" s="148" t="n">
        <f aca="false">T57+T59</f>
        <v>38623</v>
      </c>
      <c r="U61" s="148" t="n">
        <f aca="false">U57+U59</f>
        <v>46842</v>
      </c>
      <c r="V61" s="148" t="n">
        <f aca="false">V57+V59</f>
        <v>-8219</v>
      </c>
      <c r="W61" s="103"/>
      <c r="X61" s="103"/>
      <c r="Y61" s="103"/>
      <c r="Z61" s="103"/>
      <c r="AA61" s="100" t="str">
        <f aca="false">A61</f>
        <v>INCREASE / (DECREASE) IN TOTAL OBLIGATIONS</v>
      </c>
      <c r="AB61" s="148" t="n">
        <f aca="false">AB57+AB59</f>
        <v>32404</v>
      </c>
      <c r="AC61" s="148" t="n">
        <f aca="false">AC57+AC59</f>
        <v>85323</v>
      </c>
      <c r="AD61" s="148" t="n">
        <f aca="false">AD57+AD59</f>
        <v>-52919</v>
      </c>
      <c r="AE61" s="103"/>
      <c r="AF61" s="148" t="n">
        <f aca="false">AF57+AF59</f>
        <v>38623</v>
      </c>
      <c r="AG61" s="148" t="n">
        <f aca="false">AG57+AG59</f>
        <v>46842</v>
      </c>
      <c r="AH61" s="148" t="n">
        <f aca="false">AH57+AH59</f>
        <v>-8219</v>
      </c>
      <c r="AI61" s="103"/>
      <c r="AJ61" s="148" t="n">
        <f aca="false">AJ57+AJ59</f>
        <v>38481</v>
      </c>
      <c r="AK61" s="148" t="n">
        <f aca="false">AK57+AK59</f>
        <v>-6219</v>
      </c>
      <c r="AL61" s="103"/>
      <c r="AM61" s="148" t="n">
        <f aca="false">AM57+AM59</f>
        <v>19412</v>
      </c>
      <c r="AN61" s="148" t="n">
        <f aca="false">AN57+AN59</f>
        <v>12992</v>
      </c>
      <c r="AO61" s="103"/>
      <c r="AP61" s="148" t="n">
        <f aca="false">AP57+AP59</f>
        <v>67481</v>
      </c>
      <c r="AQ61" s="148" t="n">
        <f aca="false">AQ57+AQ59</f>
        <v>17842</v>
      </c>
      <c r="AR61" s="103"/>
      <c r="AS61" s="103"/>
      <c r="AT61" s="103"/>
      <c r="AU61" s="103"/>
    </row>
    <row r="62" customFormat="false" ht="8.1" hidden="false" customHeight="true" outlineLevel="0" collapsed="false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</row>
    <row r="63" customFormat="false" ht="12.75" hidden="false" customHeight="false" outlineLevel="0" collapsed="false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</row>
    <row r="64" customFormat="false" ht="12.75" hidden="false" customHeight="false" outlineLevel="0" collapsed="false">
      <c r="A64" s="149" t="str">
        <f aca="false">A1</f>
        <v>'file:///mnt/12tb/@roms/datasets/enron/EDRM Enron Email Data Set v2 XML/filtered-attachments/xls/NNG3rdCECF.xls'#$BACKUP</v>
      </c>
      <c r="B64" s="100"/>
      <c r="C64" s="100"/>
      <c r="D64" s="100"/>
      <c r="E64" s="100"/>
      <c r="F64" s="100"/>
      <c r="G64" s="100"/>
      <c r="H64" s="100"/>
      <c r="I64" s="105" t="str">
        <f aca="false">I1</f>
        <v>NORTHERN NATURAL GAS GROUP</v>
      </c>
      <c r="J64" s="105"/>
      <c r="K64" s="105"/>
      <c r="L64" s="105"/>
      <c r="M64" s="100"/>
      <c r="N64" s="100"/>
      <c r="O64" s="100"/>
      <c r="P64" s="100"/>
      <c r="Q64" s="100"/>
      <c r="R64" s="100"/>
      <c r="S64" s="100"/>
      <c r="T64" s="100"/>
      <c r="U64" s="100"/>
      <c r="V64" s="102" t="n">
        <f aca="true">NOW()</f>
        <v>45926.9494834893</v>
      </c>
      <c r="W64" s="103"/>
      <c r="X64" s="103"/>
      <c r="Y64" s="103"/>
      <c r="Z64" s="103"/>
      <c r="AA64" s="104" t="str">
        <f aca="false">A64</f>
        <v>'file:///mnt/12tb/@roms/datasets/enron/EDRM Enron Email Data Set v2 XML/filtered-attachments/xls/NNG3rdCECF.xls'#$BACKUP</v>
      </c>
      <c r="AB64" s="100"/>
      <c r="AC64" s="100"/>
      <c r="AD64" s="105" t="str">
        <f aca="false">I64</f>
        <v>NORTHERN NATURAL GAS GROUP</v>
      </c>
      <c r="AE64" s="105"/>
      <c r="AF64" s="105"/>
      <c r="AG64" s="105"/>
      <c r="AH64" s="100"/>
      <c r="AI64" s="100"/>
      <c r="AJ64" s="100"/>
      <c r="AK64" s="106"/>
      <c r="AL64" s="100"/>
      <c r="AM64" s="100"/>
      <c r="AN64" s="103"/>
      <c r="AO64" s="103"/>
      <c r="AP64" s="103"/>
      <c r="AQ64" s="102" t="n">
        <f aca="true">NOW()</f>
        <v>45926.9494834894</v>
      </c>
      <c r="AR64" s="103"/>
      <c r="AS64" s="103"/>
      <c r="AT64" s="103"/>
      <c r="AU64" s="103"/>
    </row>
    <row r="65" customFormat="false" ht="12.75" hidden="false" customHeight="false" outlineLevel="0" collapsed="false">
      <c r="A65" s="107" t="s">
        <v>503</v>
      </c>
      <c r="B65" s="100"/>
      <c r="C65" s="100"/>
      <c r="D65" s="100"/>
      <c r="E65" s="100"/>
      <c r="F65" s="100"/>
      <c r="G65" s="100"/>
      <c r="H65" s="100"/>
      <c r="I65" s="150" t="s">
        <v>504</v>
      </c>
      <c r="J65" s="150"/>
      <c r="K65" s="150"/>
      <c r="L65" s="150"/>
      <c r="M65" s="100"/>
      <c r="N65" s="100"/>
      <c r="O65" s="100"/>
      <c r="P65" s="100"/>
      <c r="Q65" s="100"/>
      <c r="R65" s="100"/>
      <c r="S65" s="100"/>
      <c r="T65" s="100"/>
      <c r="U65" s="100"/>
      <c r="V65" s="109" t="n">
        <f aca="true">NOW()</f>
        <v>45926.9494834895</v>
      </c>
      <c r="W65" s="103"/>
      <c r="X65" s="103"/>
      <c r="Y65" s="103"/>
      <c r="Z65" s="103"/>
      <c r="AA65" s="149" t="s">
        <v>505</v>
      </c>
      <c r="AB65" s="100"/>
      <c r="AC65" s="100"/>
      <c r="AD65" s="105" t="str">
        <f aca="false">I65</f>
        <v>TOTAL OBLIGATIONS</v>
      </c>
      <c r="AE65" s="105"/>
      <c r="AF65" s="105"/>
      <c r="AG65" s="105"/>
      <c r="AH65" s="100"/>
      <c r="AI65" s="100"/>
      <c r="AJ65" s="100"/>
      <c r="AK65" s="110"/>
      <c r="AL65" s="100"/>
      <c r="AM65" s="100"/>
      <c r="AN65" s="103"/>
      <c r="AO65" s="103"/>
      <c r="AP65" s="103"/>
      <c r="AQ65" s="109" t="n">
        <f aca="true">NOW()</f>
        <v>45926.9494834895</v>
      </c>
      <c r="AR65" s="103"/>
      <c r="AS65" s="103"/>
      <c r="AT65" s="103"/>
      <c r="AU65" s="103"/>
    </row>
    <row r="66" customFormat="false" ht="12.75" hidden="false" customHeight="false" outlineLevel="0" collapsed="false">
      <c r="A66" s="110"/>
      <c r="B66" s="100"/>
      <c r="C66" s="100"/>
      <c r="D66" s="100"/>
      <c r="E66" s="100"/>
      <c r="F66" s="100"/>
      <c r="G66" s="100"/>
      <c r="H66" s="100"/>
      <c r="I66" s="105" t="str">
        <f aca="false">I3</f>
        <v>2001 ACTUAL / ESTIMATE</v>
      </c>
      <c r="J66" s="105"/>
      <c r="K66" s="105"/>
      <c r="L66" s="105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3"/>
      <c r="X66" s="103"/>
      <c r="Y66" s="103"/>
      <c r="Z66" s="103"/>
      <c r="AA66" s="110"/>
      <c r="AB66" s="100"/>
      <c r="AC66" s="100"/>
      <c r="AD66" s="105" t="str">
        <f aca="false">I66</f>
        <v>2001 ACTUAL / ESTIMATE</v>
      </c>
      <c r="AE66" s="105"/>
      <c r="AF66" s="105"/>
      <c r="AG66" s="105"/>
      <c r="AH66" s="100"/>
      <c r="AI66" s="100"/>
      <c r="AJ66" s="100"/>
      <c r="AK66" s="100"/>
      <c r="AL66" s="100"/>
      <c r="AM66" s="100"/>
      <c r="AN66" s="100"/>
      <c r="AO66" s="103"/>
      <c r="AP66" s="103"/>
      <c r="AQ66" s="103"/>
      <c r="AR66" s="103"/>
      <c r="AS66" s="103"/>
      <c r="AT66" s="103"/>
      <c r="AU66" s="103"/>
    </row>
    <row r="67" customFormat="false" ht="12.75" hidden="false" customHeight="false" outlineLevel="0" collapsed="false">
      <c r="A67" s="100"/>
      <c r="B67" s="100"/>
      <c r="C67" s="100"/>
      <c r="D67" s="100"/>
      <c r="E67" s="100"/>
      <c r="F67" s="100"/>
      <c r="G67" s="100"/>
      <c r="H67" s="100"/>
      <c r="I67" s="105" t="str">
        <f aca="false">I4</f>
        <v>(Thousands of Dollars)</v>
      </c>
      <c r="J67" s="105"/>
      <c r="K67" s="105"/>
      <c r="L67" s="105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3"/>
      <c r="X67" s="103"/>
      <c r="Y67" s="103"/>
      <c r="Z67" s="103"/>
      <c r="AA67" s="100"/>
      <c r="AB67" s="100"/>
      <c r="AC67" s="100"/>
      <c r="AD67" s="105" t="str">
        <f aca="false">I67</f>
        <v>(Thousands of Dollars)</v>
      </c>
      <c r="AE67" s="105"/>
      <c r="AF67" s="105"/>
      <c r="AG67" s="105"/>
      <c r="AH67" s="100"/>
      <c r="AI67" s="100"/>
      <c r="AJ67" s="100"/>
      <c r="AK67" s="100"/>
      <c r="AL67" s="100"/>
      <c r="AM67" s="100"/>
      <c r="AN67" s="100"/>
      <c r="AO67" s="103"/>
      <c r="AP67" s="103"/>
      <c r="AQ67" s="103"/>
      <c r="AR67" s="103"/>
      <c r="AS67" s="103"/>
      <c r="AT67" s="103"/>
      <c r="AU67" s="103"/>
    </row>
    <row r="68" customFormat="false" ht="12.75" hidden="false" customHeight="false" outlineLevel="0" collapsed="false">
      <c r="A68" s="100"/>
      <c r="B68" s="100"/>
      <c r="C68" s="100"/>
      <c r="D68" s="11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51"/>
      <c r="Q68" s="100"/>
      <c r="R68" s="100"/>
      <c r="S68" s="100"/>
      <c r="T68" s="114" t="n">
        <f aca="false">T5</f>
        <v>0</v>
      </c>
      <c r="U68" s="100"/>
      <c r="V68" s="114" t="n">
        <f aca="false">V5</f>
        <v>0</v>
      </c>
      <c r="W68" s="103"/>
      <c r="X68" s="103"/>
      <c r="Y68" s="103"/>
      <c r="Z68" s="103"/>
      <c r="AA68" s="100"/>
      <c r="AB68" s="100"/>
      <c r="AC68" s="100"/>
      <c r="AD68" s="100"/>
      <c r="AE68" s="100"/>
      <c r="AF68" s="114" t="n">
        <f aca="false">AF5</f>
        <v>0</v>
      </c>
      <c r="AG68" s="114"/>
      <c r="AH68" s="114" t="n">
        <f aca="false">AH5</f>
        <v>0</v>
      </c>
      <c r="AI68" s="100"/>
      <c r="AJ68" s="103"/>
      <c r="AK68" s="114" t="n">
        <f aca="false">AK5</f>
        <v>0</v>
      </c>
      <c r="AL68" s="100"/>
      <c r="AM68" s="103"/>
      <c r="AN68" s="100"/>
      <c r="AO68" s="103"/>
      <c r="AP68" s="152"/>
      <c r="AQ68" s="153"/>
      <c r="AR68" s="103"/>
      <c r="AS68" s="103"/>
      <c r="AT68" s="103"/>
      <c r="AU68" s="103"/>
    </row>
    <row r="69" customFormat="false" ht="12.75" hidden="false" customHeight="false" outlineLevel="0" collapsed="false">
      <c r="A69" s="100"/>
      <c r="B69" s="100"/>
      <c r="C69" s="100"/>
      <c r="D69" s="114" t="str">
        <f aca="false">D6</f>
        <v>ACT.</v>
      </c>
      <c r="E69" s="114" t="str">
        <f aca="false">E6</f>
        <v>ACT.</v>
      </c>
      <c r="F69" s="114" t="str">
        <f aca="false">F6</f>
        <v>ACT.</v>
      </c>
      <c r="G69" s="114" t="str">
        <f aca="false">G6</f>
        <v>ACT.</v>
      </c>
      <c r="H69" s="114" t="str">
        <f aca="false">H6</f>
        <v>ACT.</v>
      </c>
      <c r="I69" s="114" t="str">
        <f aca="false">I6</f>
        <v>ACT.</v>
      </c>
      <c r="J69" s="114" t="str">
        <f aca="false">J6</f>
        <v>ACT.</v>
      </c>
      <c r="K69" s="114" t="str">
        <f aca="false">K6</f>
        <v>ACT.</v>
      </c>
      <c r="L69" s="114" t="str">
        <f aca="false">L6</f>
        <v>3rd CE</v>
      </c>
      <c r="M69" s="114" t="str">
        <f aca="false">M6</f>
        <v>3rd CE</v>
      </c>
      <c r="N69" s="114" t="str">
        <f aca="false">N6</f>
        <v>3rd CE</v>
      </c>
      <c r="O69" s="114" t="str">
        <f aca="false">O6</f>
        <v>3rd CE</v>
      </c>
      <c r="P69" s="114" t="str">
        <f aca="false">P6</f>
        <v>TOTAL</v>
      </c>
      <c r="Q69" s="114" t="str">
        <f aca="false">Q6</f>
        <v>JULY</v>
      </c>
      <c r="R69" s="114" t="str">
        <f aca="false">R6</f>
        <v>ESTIMATED</v>
      </c>
      <c r="S69" s="100"/>
      <c r="T69" s="114" t="str">
        <f aca="false">T6</f>
        <v>PLAN</v>
      </c>
      <c r="U69" s="114" t="str">
        <f aca="false">U6</f>
        <v>SEPT.</v>
      </c>
      <c r="V69" s="114" t="str">
        <f aca="false">V6</f>
        <v>PLAN</v>
      </c>
      <c r="W69" s="103"/>
      <c r="X69" s="103"/>
      <c r="Y69" s="103"/>
      <c r="Z69" s="103"/>
      <c r="AA69" s="100"/>
      <c r="AB69" s="120" t="str">
        <f aca="false">AB6</f>
        <v>TOTAL</v>
      </c>
      <c r="AC69" s="120" t="str">
        <f aca="false">AC6</f>
        <v>SEPT.</v>
      </c>
      <c r="AD69" s="120" t="str">
        <f aca="false">AD6</f>
        <v>ESTIMATED</v>
      </c>
      <c r="AE69" s="100"/>
      <c r="AF69" s="114" t="str">
        <f aca="false">AF6</f>
        <v>PLAN</v>
      </c>
      <c r="AG69" s="114" t="str">
        <f aca="false">AG6</f>
        <v>SEPT.</v>
      </c>
      <c r="AH69" s="114" t="str">
        <f aca="false">AH6</f>
        <v>PLAN</v>
      </c>
      <c r="AI69" s="120"/>
      <c r="AJ69" s="154" t="str">
        <f aca="false">AJ6</f>
        <v>ACT./EST. vs. PLAN</v>
      </c>
      <c r="AK69" s="154"/>
      <c r="AL69" s="100"/>
      <c r="AM69" s="154" t="str">
        <f aca="false">AM6</f>
        <v>2nd C.E.</v>
      </c>
      <c r="AN69" s="154"/>
      <c r="AO69" s="103"/>
      <c r="AP69" s="154" t="str">
        <f aca="false">AP6</f>
        <v>Sept. YTD</v>
      </c>
      <c r="AQ69" s="154"/>
      <c r="AR69" s="103"/>
      <c r="AS69" s="103"/>
      <c r="AT69" s="103"/>
      <c r="AU69" s="103"/>
    </row>
    <row r="70" customFormat="false" ht="12.95" hidden="false" customHeight="true" outlineLevel="0" collapsed="false">
      <c r="A70" s="100"/>
      <c r="B70" s="100"/>
      <c r="C70" s="100"/>
      <c r="D70" s="126" t="str">
        <f aca="false">D7</f>
        <v>JAN</v>
      </c>
      <c r="E70" s="126" t="str">
        <f aca="false">E7</f>
        <v>FEB</v>
      </c>
      <c r="F70" s="126" t="str">
        <f aca="false">F7</f>
        <v>MAR</v>
      </c>
      <c r="G70" s="126" t="str">
        <f aca="false">G7</f>
        <v>APR</v>
      </c>
      <c r="H70" s="126" t="str">
        <f aca="false">H7</f>
        <v>MAY</v>
      </c>
      <c r="I70" s="126" t="str">
        <f aca="false">I7</f>
        <v>JUN</v>
      </c>
      <c r="J70" s="126" t="str">
        <f aca="false">J7</f>
        <v>JUL</v>
      </c>
      <c r="K70" s="126" t="str">
        <f aca="false">K7</f>
        <v>AUG</v>
      </c>
      <c r="L70" s="126" t="str">
        <f aca="false">L7</f>
        <v>SEP</v>
      </c>
      <c r="M70" s="126" t="str">
        <f aca="false">M7</f>
        <v>OCT</v>
      </c>
      <c r="N70" s="126" t="str">
        <f aca="false">N7</f>
        <v>NOV</v>
      </c>
      <c r="O70" s="126" t="str">
        <f aca="false">O7</f>
        <v>DEC</v>
      </c>
      <c r="P70" s="126" t="n">
        <f aca="false">P7</f>
        <v>2001</v>
      </c>
      <c r="Q70" s="126" t="str">
        <f aca="false">Q7</f>
        <v>Y-T-D</v>
      </c>
      <c r="R70" s="126" t="str">
        <f aca="false">R7</f>
        <v>R.M.</v>
      </c>
      <c r="S70" s="100"/>
      <c r="T70" s="126" t="n">
        <f aca="false">T7</f>
        <v>2001</v>
      </c>
      <c r="U70" s="126" t="str">
        <f aca="false">U7</f>
        <v>Y-T-D</v>
      </c>
      <c r="V70" s="126" t="str">
        <f aca="false">V7</f>
        <v>R.M.</v>
      </c>
      <c r="W70" s="103"/>
      <c r="X70" s="103"/>
      <c r="Y70" s="103"/>
      <c r="Z70" s="103"/>
      <c r="AA70" s="100"/>
      <c r="AB70" s="125" t="n">
        <f aca="false">AB7</f>
        <v>2001</v>
      </c>
      <c r="AC70" s="125" t="str">
        <f aca="false">AC7</f>
        <v>Y-T-D</v>
      </c>
      <c r="AD70" s="125" t="str">
        <f aca="false">AD7</f>
        <v>R.M.</v>
      </c>
      <c r="AE70" s="100"/>
      <c r="AF70" s="125" t="n">
        <f aca="false">AF7</f>
        <v>2001</v>
      </c>
      <c r="AG70" s="125" t="str">
        <f aca="false">AG7</f>
        <v>Y-T-D</v>
      </c>
      <c r="AH70" s="125" t="str">
        <f aca="false">AH7</f>
        <v>R.M.</v>
      </c>
      <c r="AI70" s="100"/>
      <c r="AJ70" s="125" t="str">
        <f aca="false">AJ7</f>
        <v>Y-T-D</v>
      </c>
      <c r="AK70" s="125" t="str">
        <f aca="false">AK7</f>
        <v>ANNUAL</v>
      </c>
      <c r="AL70" s="100"/>
      <c r="AM70" s="125" t="str">
        <f aca="false">AM7</f>
        <v>ANNUAL</v>
      </c>
      <c r="AN70" s="125" t="str">
        <f aca="false">AN7</f>
        <v>Variance</v>
      </c>
      <c r="AO70" s="103"/>
      <c r="AP70" s="125" t="str">
        <f aca="false">AP7</f>
        <v>2nd C.E.</v>
      </c>
      <c r="AQ70" s="125" t="str">
        <f aca="false">AQ7</f>
        <v>Variance</v>
      </c>
      <c r="AR70" s="103"/>
      <c r="AS70" s="103"/>
      <c r="AT70" s="103"/>
      <c r="AU70" s="103"/>
    </row>
    <row r="71" customFormat="false" ht="3.95" hidden="false" customHeight="true" outlineLevel="0" collapsed="false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</row>
    <row r="72" customFormat="false" ht="12.75" hidden="false" customHeight="false" outlineLevel="0" collapsed="false">
      <c r="A72" s="132" t="s">
        <v>506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 t="str">
        <f aca="false">A72</f>
        <v>Cash Flow From Operations</v>
      </c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</row>
    <row r="73" customFormat="false" ht="12.75" hidden="false" customHeight="false" outlineLevel="0" collapsed="false">
      <c r="A73" s="132" t="s">
        <v>507</v>
      </c>
      <c r="B73" s="103"/>
      <c r="C73" s="103"/>
      <c r="D73" s="130" t="n">
        <f aca="false">D9</f>
        <v>19634</v>
      </c>
      <c r="E73" s="130" t="n">
        <f aca="false">E9</f>
        <v>18785</v>
      </c>
      <c r="F73" s="130" t="n">
        <f aca="false">F9</f>
        <v>17695</v>
      </c>
      <c r="G73" s="130" t="n">
        <f aca="false">G9</f>
        <v>3079</v>
      </c>
      <c r="H73" s="130" t="n">
        <f aca="false">H9</f>
        <v>992</v>
      </c>
      <c r="I73" s="130" t="n">
        <f aca="false">I9</f>
        <v>2966</v>
      </c>
      <c r="J73" s="130" t="n">
        <f aca="false">J9</f>
        <v>1548</v>
      </c>
      <c r="K73" s="130" t="n">
        <f aca="false">K9</f>
        <v>2474</v>
      </c>
      <c r="L73" s="130" t="n">
        <f aca="false">L9</f>
        <v>646</v>
      </c>
      <c r="M73" s="130" t="n">
        <f aca="false">M9</f>
        <v>-1185</v>
      </c>
      <c r="N73" s="130" t="n">
        <f aca="false">N9</f>
        <v>16351</v>
      </c>
      <c r="O73" s="130" t="n">
        <f aca="false">O9</f>
        <v>16756</v>
      </c>
      <c r="P73" s="130" t="n">
        <f aca="false">SUM(D73:O73)</f>
        <v>99741</v>
      </c>
      <c r="Q73" s="131" t="n">
        <f aca="false">SUM(D73:J73)</f>
        <v>64699</v>
      </c>
      <c r="R73" s="130" t="n">
        <f aca="false">P73-Q73</f>
        <v>35042</v>
      </c>
      <c r="S73" s="103"/>
      <c r="T73" s="130" t="n">
        <f aca="false">T9</f>
        <v>101324</v>
      </c>
      <c r="U73" s="130" t="n">
        <f aca="false">U9</f>
        <v>64319</v>
      </c>
      <c r="V73" s="130" t="n">
        <f aca="false">V9</f>
        <v>37005</v>
      </c>
      <c r="W73" s="103"/>
      <c r="X73" s="103"/>
      <c r="Y73" s="103"/>
      <c r="Z73" s="103"/>
      <c r="AA73" s="103" t="str">
        <f aca="false">A73</f>
        <v>      Net Income After Financing Costs</v>
      </c>
      <c r="AB73" s="130" t="n">
        <f aca="false">P73</f>
        <v>99741</v>
      </c>
      <c r="AC73" s="131" t="n">
        <f aca="false">SUM(D73:L73)</f>
        <v>67819</v>
      </c>
      <c r="AD73" s="130" t="n">
        <f aca="false">AB73-AC73</f>
        <v>31922</v>
      </c>
      <c r="AE73" s="103"/>
      <c r="AF73" s="130" t="n">
        <f aca="false">T73</f>
        <v>101324</v>
      </c>
      <c r="AG73" s="130" t="n">
        <f aca="false">AG9</f>
        <v>64319</v>
      </c>
      <c r="AH73" s="130" t="n">
        <f aca="false">AF73-AG73</f>
        <v>37005</v>
      </c>
      <c r="AI73" s="103"/>
      <c r="AJ73" s="130" t="n">
        <f aca="false">AC73-AG73</f>
        <v>3500</v>
      </c>
      <c r="AK73" s="130" t="n">
        <f aca="false">AB73-AF73</f>
        <v>-1583</v>
      </c>
      <c r="AL73" s="103"/>
      <c r="AM73" s="130" t="n">
        <f aca="false">AM9</f>
        <v>104819</v>
      </c>
      <c r="AN73" s="130" t="n">
        <f aca="false">AB73-AM73</f>
        <v>-5078</v>
      </c>
      <c r="AO73" s="103"/>
      <c r="AP73" s="130" t="n">
        <f aca="false">AP9</f>
        <v>66848</v>
      </c>
      <c r="AQ73" s="130" t="n">
        <f aca="false">AC73-AP73</f>
        <v>971</v>
      </c>
      <c r="AR73" s="103"/>
      <c r="AS73" s="103"/>
      <c r="AT73" s="103"/>
      <c r="AU73" s="103"/>
    </row>
    <row r="74" customFormat="false" ht="12.75" hidden="false" customHeight="false" outlineLevel="0" collapsed="false">
      <c r="A74" s="132" t="s">
        <v>508</v>
      </c>
      <c r="B74" s="103"/>
      <c r="C74" s="103"/>
      <c r="D74" s="130" t="n">
        <f aca="false">D11</f>
        <v>3841</v>
      </c>
      <c r="E74" s="130" t="n">
        <f aca="false">E11</f>
        <v>3853</v>
      </c>
      <c r="F74" s="130" t="n">
        <f aca="false">F11</f>
        <v>3900</v>
      </c>
      <c r="G74" s="130" t="n">
        <f aca="false">G11</f>
        <v>3811</v>
      </c>
      <c r="H74" s="130" t="n">
        <f aca="false">H11</f>
        <v>3755</v>
      </c>
      <c r="I74" s="130" t="n">
        <f aca="false">I11</f>
        <v>3999</v>
      </c>
      <c r="J74" s="130" t="n">
        <f aca="false">J11</f>
        <v>3851</v>
      </c>
      <c r="K74" s="130" t="n">
        <f aca="false">K11</f>
        <v>3855</v>
      </c>
      <c r="L74" s="130" t="n">
        <f aca="false">L11</f>
        <v>3900</v>
      </c>
      <c r="M74" s="130" t="n">
        <f aca="false">M11</f>
        <v>5200</v>
      </c>
      <c r="N74" s="130" t="n">
        <f aca="false">N11</f>
        <v>3950</v>
      </c>
      <c r="O74" s="130" t="n">
        <f aca="false">O11</f>
        <v>4000</v>
      </c>
      <c r="P74" s="130" t="n">
        <f aca="false">SUM(D74:O74)</f>
        <v>47915</v>
      </c>
      <c r="Q74" s="131" t="n">
        <f aca="false">SUM(D74:J74)</f>
        <v>27010</v>
      </c>
      <c r="R74" s="130" t="n">
        <f aca="false">P74-Q74</f>
        <v>20905</v>
      </c>
      <c r="S74" s="103"/>
      <c r="T74" s="130" t="n">
        <f aca="false">T11</f>
        <v>49600</v>
      </c>
      <c r="U74" s="130" t="n">
        <f aca="false">U11</f>
        <v>37947</v>
      </c>
      <c r="V74" s="130" t="n">
        <f aca="false">V11</f>
        <v>11653</v>
      </c>
      <c r="W74" s="103"/>
      <c r="X74" s="103"/>
      <c r="Y74" s="103"/>
      <c r="Z74" s="103"/>
      <c r="AA74" s="103" t="str">
        <f aca="false">A74</f>
        <v>      Depreciation, Depletion, and Amortization</v>
      </c>
      <c r="AB74" s="130" t="n">
        <f aca="false">P74</f>
        <v>47915</v>
      </c>
      <c r="AC74" s="131" t="n">
        <f aca="false">SUM(D74:L74)</f>
        <v>34765</v>
      </c>
      <c r="AD74" s="130" t="n">
        <f aca="false">AB74-AC74</f>
        <v>13150</v>
      </c>
      <c r="AE74" s="103"/>
      <c r="AF74" s="130" t="n">
        <f aca="false">T74</f>
        <v>49600</v>
      </c>
      <c r="AG74" s="130" t="n">
        <f aca="false">AG11</f>
        <v>37947</v>
      </c>
      <c r="AH74" s="130" t="n">
        <f aca="false">AF74-AG74</f>
        <v>11653</v>
      </c>
      <c r="AI74" s="103"/>
      <c r="AJ74" s="130" t="n">
        <f aca="false">AC74-AG74</f>
        <v>-3182</v>
      </c>
      <c r="AK74" s="130" t="n">
        <f aca="false">AB74-AF74</f>
        <v>-1685</v>
      </c>
      <c r="AL74" s="103"/>
      <c r="AM74" s="130" t="n">
        <f aca="false">AM11</f>
        <v>48059</v>
      </c>
      <c r="AN74" s="130" t="n">
        <f aca="false">AB74-AM74</f>
        <v>-144</v>
      </c>
      <c r="AO74" s="103"/>
      <c r="AP74" s="130" t="n">
        <f aca="false">AP11</f>
        <v>35159</v>
      </c>
      <c r="AQ74" s="130" t="n">
        <f aca="false">AC74-AP74</f>
        <v>-394</v>
      </c>
      <c r="AR74" s="103"/>
      <c r="AS74" s="103"/>
      <c r="AT74" s="103"/>
      <c r="AU74" s="103"/>
    </row>
    <row r="75" customFormat="false" ht="12.75" hidden="false" customHeight="false" outlineLevel="0" collapsed="false">
      <c r="A75" s="132" t="s">
        <v>509</v>
      </c>
      <c r="B75" s="103"/>
      <c r="C75" s="103"/>
      <c r="D75" s="130" t="n">
        <f aca="false">D12</f>
        <v>-0</v>
      </c>
      <c r="E75" s="130" t="n">
        <f aca="false">E12</f>
        <v>-0</v>
      </c>
      <c r="F75" s="130" t="n">
        <f aca="false">F12</f>
        <v>-0</v>
      </c>
      <c r="G75" s="130" t="n">
        <f aca="false">G12</f>
        <v>-0</v>
      </c>
      <c r="H75" s="130" t="n">
        <f aca="false">H12</f>
        <v>-0</v>
      </c>
      <c r="I75" s="130" t="n">
        <f aca="false">I12</f>
        <v>-0</v>
      </c>
      <c r="J75" s="130" t="n">
        <f aca="false">J12</f>
        <v>-0</v>
      </c>
      <c r="K75" s="130" t="n">
        <f aca="false">K12</f>
        <v>-0</v>
      </c>
      <c r="L75" s="130" t="n">
        <f aca="false">L12</f>
        <v>-0</v>
      </c>
      <c r="M75" s="130" t="n">
        <f aca="false">M12</f>
        <v>-0</v>
      </c>
      <c r="N75" s="130" t="n">
        <f aca="false">N12</f>
        <v>-0</v>
      </c>
      <c r="O75" s="130" t="n">
        <f aca="false">O12</f>
        <v>-0</v>
      </c>
      <c r="P75" s="130" t="n">
        <f aca="false">SUM(D75:O75)</f>
        <v>0</v>
      </c>
      <c r="Q75" s="131" t="n">
        <f aca="false">SUM(D75:J75)</f>
        <v>0</v>
      </c>
      <c r="R75" s="130" t="n">
        <f aca="false">P75-Q75</f>
        <v>0</v>
      </c>
      <c r="S75" s="103"/>
      <c r="T75" s="130" t="n">
        <f aca="false">T12</f>
        <v>0</v>
      </c>
      <c r="U75" s="130" t="n">
        <f aca="false">U12</f>
        <v>0</v>
      </c>
      <c r="V75" s="130" t="n">
        <f aca="false">V12</f>
        <v>0</v>
      </c>
      <c r="W75" s="103"/>
      <c r="X75" s="103"/>
      <c r="Y75" s="103"/>
      <c r="Z75" s="103"/>
      <c r="AA75" s="103" t="str">
        <f aca="false">A75</f>
        <v>      Amortization of Contract Reformation Costs</v>
      </c>
      <c r="AB75" s="130" t="n">
        <f aca="false">P75</f>
        <v>0</v>
      </c>
      <c r="AC75" s="131" t="n">
        <f aca="false">SUM(D75:L75)</f>
        <v>0</v>
      </c>
      <c r="AD75" s="130" t="n">
        <f aca="false">AB75-AC75</f>
        <v>0</v>
      </c>
      <c r="AE75" s="103"/>
      <c r="AF75" s="130" t="n">
        <f aca="false">T75</f>
        <v>0</v>
      </c>
      <c r="AG75" s="130" t="n">
        <f aca="false">AG12</f>
        <v>0</v>
      </c>
      <c r="AH75" s="130" t="n">
        <f aca="false">AF75-AG75</f>
        <v>0</v>
      </c>
      <c r="AI75" s="103"/>
      <c r="AJ75" s="130" t="n">
        <f aca="false">AC75-AG75</f>
        <v>0</v>
      </c>
      <c r="AK75" s="130" t="n">
        <f aca="false">AB75-AF75</f>
        <v>0</v>
      </c>
      <c r="AL75" s="103"/>
      <c r="AM75" s="130" t="n">
        <f aca="false">AM12</f>
        <v>0</v>
      </c>
      <c r="AN75" s="130" t="n">
        <f aca="false">AB75-AM75</f>
        <v>0</v>
      </c>
      <c r="AO75" s="103"/>
      <c r="AP75" s="130" t="n">
        <f aca="false">AP12</f>
        <v>0</v>
      </c>
      <c r="AQ75" s="130" t="n">
        <f aca="false">AC75-AP75</f>
        <v>0</v>
      </c>
      <c r="AR75" s="103"/>
      <c r="AS75" s="103"/>
      <c r="AT75" s="103"/>
      <c r="AU75" s="103"/>
    </row>
    <row r="76" customFormat="false" ht="12.75" hidden="false" customHeight="false" outlineLevel="0" collapsed="false">
      <c r="A76" s="132" t="s">
        <v>510</v>
      </c>
      <c r="B76" s="103"/>
      <c r="C76" s="103"/>
      <c r="D76" s="130" t="n">
        <f aca="false">D13</f>
        <v>3262</v>
      </c>
      <c r="E76" s="130" t="n">
        <f aca="false">E13</f>
        <v>150</v>
      </c>
      <c r="F76" s="130" t="n">
        <f aca="false">F13</f>
        <v>-1147</v>
      </c>
      <c r="G76" s="130" t="n">
        <f aca="false">G13</f>
        <v>23341</v>
      </c>
      <c r="H76" s="130" t="n">
        <f aca="false">H13</f>
        <v>1575</v>
      </c>
      <c r="I76" s="130" t="n">
        <f aca="false">I13</f>
        <v>-2983</v>
      </c>
      <c r="J76" s="130" t="n">
        <f aca="false">J13</f>
        <v>860</v>
      </c>
      <c r="K76" s="130" t="n">
        <f aca="false">K13</f>
        <v>3339</v>
      </c>
      <c r="L76" s="130" t="n">
        <f aca="false">L13</f>
        <v>2207</v>
      </c>
      <c r="M76" s="130" t="n">
        <f aca="false">M13</f>
        <v>-11814</v>
      </c>
      <c r="N76" s="130" t="n">
        <f aca="false">N13</f>
        <v>-1321</v>
      </c>
      <c r="O76" s="130" t="n">
        <f aca="false">O13</f>
        <v>659</v>
      </c>
      <c r="P76" s="130" t="n">
        <f aca="false">SUM(D76:O76)</f>
        <v>18128</v>
      </c>
      <c r="Q76" s="131" t="n">
        <f aca="false">SUM(D76:J76)</f>
        <v>25058</v>
      </c>
      <c r="R76" s="130" t="n">
        <f aca="false">P76-Q76</f>
        <v>-6930</v>
      </c>
      <c r="S76" s="103"/>
      <c r="T76" s="130" t="n">
        <f aca="false">T13</f>
        <v>7119</v>
      </c>
      <c r="U76" s="130" t="n">
        <f aca="false">U13</f>
        <v>6786</v>
      </c>
      <c r="V76" s="130" t="n">
        <f aca="false">V13</f>
        <v>333</v>
      </c>
      <c r="W76" s="103"/>
      <c r="X76" s="103"/>
      <c r="Y76" s="103"/>
      <c r="Z76" s="103"/>
      <c r="AA76" s="103" t="str">
        <f aca="false">A76</f>
        <v>      Deferred Income Taxes - Noncurrent Only</v>
      </c>
      <c r="AB76" s="130" t="n">
        <f aca="false">P76</f>
        <v>18128</v>
      </c>
      <c r="AC76" s="131" t="n">
        <f aca="false">SUM(D76:L76)</f>
        <v>30604</v>
      </c>
      <c r="AD76" s="130" t="n">
        <f aca="false">AB76-AC76</f>
        <v>-12476</v>
      </c>
      <c r="AE76" s="103"/>
      <c r="AF76" s="130" t="n">
        <f aca="false">T76</f>
        <v>7119</v>
      </c>
      <c r="AG76" s="130" t="n">
        <f aca="false">AG13</f>
        <v>6786</v>
      </c>
      <c r="AH76" s="130" t="n">
        <f aca="false">AF76-AG76</f>
        <v>333</v>
      </c>
      <c r="AI76" s="103"/>
      <c r="AJ76" s="130" t="n">
        <f aca="false">AC76-AG76</f>
        <v>23818</v>
      </c>
      <c r="AK76" s="130" t="n">
        <f aca="false">AB76-AF76</f>
        <v>11009</v>
      </c>
      <c r="AL76" s="103"/>
      <c r="AM76" s="130" t="n">
        <f aca="false">AM13</f>
        <v>16432</v>
      </c>
      <c r="AN76" s="130" t="n">
        <f aca="false">AB76-AM76</f>
        <v>1696</v>
      </c>
      <c r="AO76" s="103"/>
      <c r="AP76" s="130" t="n">
        <f aca="false">AP13</f>
        <v>28314</v>
      </c>
      <c r="AQ76" s="130" t="n">
        <f aca="false">AC76-AP76</f>
        <v>2290</v>
      </c>
      <c r="AR76" s="103"/>
      <c r="AS76" s="103"/>
      <c r="AT76" s="103"/>
      <c r="AU76" s="103"/>
    </row>
    <row r="77" customFormat="false" ht="12.75" hidden="false" customHeight="false" outlineLevel="0" collapsed="false">
      <c r="A77" s="132" t="s">
        <v>511</v>
      </c>
      <c r="B77" s="103"/>
      <c r="C77" s="103"/>
      <c r="D77" s="131" t="n">
        <v>0</v>
      </c>
      <c r="E77" s="131" t="n">
        <v>0</v>
      </c>
      <c r="F77" s="131" t="n">
        <v>0</v>
      </c>
      <c r="G77" s="131" t="n">
        <v>0</v>
      </c>
      <c r="H77" s="131" t="n">
        <v>0</v>
      </c>
      <c r="I77" s="131" t="n">
        <v>0</v>
      </c>
      <c r="J77" s="131" t="n">
        <v>0</v>
      </c>
      <c r="K77" s="131" t="n">
        <v>0</v>
      </c>
      <c r="L77" s="131" t="n">
        <v>0</v>
      </c>
      <c r="M77" s="131" t="n">
        <v>0</v>
      </c>
      <c r="N77" s="131" t="n">
        <v>0</v>
      </c>
      <c r="O77" s="131" t="n">
        <v>0</v>
      </c>
      <c r="P77" s="130" t="n">
        <f aca="false">SUM(D77:O77)</f>
        <v>0</v>
      </c>
      <c r="Q77" s="131" t="n">
        <f aca="false">SUM(D77:J77)</f>
        <v>0</v>
      </c>
      <c r="R77" s="130" t="n">
        <f aca="false">P77-Q77</f>
        <v>0</v>
      </c>
      <c r="S77" s="103"/>
      <c r="T77" s="131" t="n">
        <v>0</v>
      </c>
      <c r="U77" s="131" t="n">
        <v>0</v>
      </c>
      <c r="V77" s="131" t="n">
        <v>0</v>
      </c>
      <c r="W77" s="103"/>
      <c r="X77" s="103"/>
      <c r="Y77" s="103"/>
      <c r="Z77" s="103"/>
      <c r="AA77" s="103" t="str">
        <f aca="false">A77</f>
        <v>      Deferred Revenue</v>
      </c>
      <c r="AB77" s="130" t="n">
        <f aca="false">P77</f>
        <v>0</v>
      </c>
      <c r="AC77" s="131" t="n">
        <f aca="false">SUM(D77:L77)</f>
        <v>0</v>
      </c>
      <c r="AD77" s="130" t="n">
        <f aca="false">AB77-AC77</f>
        <v>0</v>
      </c>
      <c r="AE77" s="103"/>
      <c r="AF77" s="130" t="n">
        <f aca="false">T77</f>
        <v>0</v>
      </c>
      <c r="AG77" s="131" t="n">
        <v>0</v>
      </c>
      <c r="AH77" s="130" t="n">
        <f aca="false">AF77-AG77</f>
        <v>0</v>
      </c>
      <c r="AI77" s="103"/>
      <c r="AJ77" s="130" t="n">
        <f aca="false">AC77-AG77</f>
        <v>0</v>
      </c>
      <c r="AK77" s="130" t="n">
        <f aca="false">AB77-AF77</f>
        <v>0</v>
      </c>
      <c r="AL77" s="103"/>
      <c r="AM77" s="131" t="n">
        <v>0</v>
      </c>
      <c r="AN77" s="130" t="n">
        <f aca="false">AB77-AM77</f>
        <v>0</v>
      </c>
      <c r="AO77" s="103"/>
      <c r="AP77" s="131" t="n">
        <v>0</v>
      </c>
      <c r="AQ77" s="130" t="n">
        <f aca="false">AC77-AP77</f>
        <v>0</v>
      </c>
      <c r="AR77" s="103"/>
      <c r="AS77" s="103"/>
      <c r="AT77" s="103"/>
      <c r="AU77" s="103"/>
    </row>
    <row r="78" customFormat="false" ht="12.75" hidden="false" customHeight="false" outlineLevel="0" collapsed="false">
      <c r="A78" s="132" t="s">
        <v>512</v>
      </c>
      <c r="B78" s="103"/>
      <c r="C78" s="103"/>
      <c r="D78" s="146" t="n">
        <f aca="false">D29</f>
        <v>-483</v>
      </c>
      <c r="E78" s="146" t="n">
        <f aca="false">E29</f>
        <v>75</v>
      </c>
      <c r="F78" s="146" t="n">
        <f aca="false">F29</f>
        <v>62</v>
      </c>
      <c r="G78" s="146" t="n">
        <f aca="false">G29</f>
        <v>153</v>
      </c>
      <c r="H78" s="146" t="n">
        <f aca="false">H29</f>
        <v>141</v>
      </c>
      <c r="I78" s="146" t="n">
        <f aca="false">I29</f>
        <v>138</v>
      </c>
      <c r="J78" s="146" t="n">
        <f aca="false">J29</f>
        <v>717</v>
      </c>
      <c r="K78" s="146" t="n">
        <f aca="false">K29</f>
        <v>0</v>
      </c>
      <c r="L78" s="146" t="n">
        <f aca="false">L29</f>
        <v>0</v>
      </c>
      <c r="M78" s="146" t="n">
        <f aca="false">M29</f>
        <v>0</v>
      </c>
      <c r="N78" s="146" t="n">
        <f aca="false">N29</f>
        <v>0</v>
      </c>
      <c r="O78" s="146" t="n">
        <f aca="false">O29</f>
        <v>0</v>
      </c>
      <c r="P78" s="130" t="n">
        <f aca="false">SUM(D78:O78)</f>
        <v>803</v>
      </c>
      <c r="Q78" s="131" t="n">
        <f aca="false">SUM(D78:J78)</f>
        <v>803</v>
      </c>
      <c r="R78" s="130" t="n">
        <f aca="false">P78-Q78</f>
        <v>0</v>
      </c>
      <c r="S78" s="103"/>
      <c r="T78" s="146" t="n">
        <f aca="false">T29</f>
        <v>0</v>
      </c>
      <c r="U78" s="146" t="n">
        <f aca="false">U29</f>
        <v>0</v>
      </c>
      <c r="V78" s="146" t="n">
        <f aca="false">V29</f>
        <v>0</v>
      </c>
      <c r="W78" s="103"/>
      <c r="X78" s="103"/>
      <c r="Y78" s="103"/>
      <c r="Z78" s="103"/>
      <c r="AA78" s="103" t="str">
        <f aca="false">A78</f>
        <v>      Unrealized (Gain) / Loss on Price Risk Mgmt Activities</v>
      </c>
      <c r="AB78" s="130" t="n">
        <f aca="false">P78</f>
        <v>803</v>
      </c>
      <c r="AC78" s="131" t="n">
        <f aca="false">SUM(D78:L78)</f>
        <v>803</v>
      </c>
      <c r="AD78" s="130" t="n">
        <f aca="false">AB78-AC78</f>
        <v>0</v>
      </c>
      <c r="AE78" s="103"/>
      <c r="AF78" s="130" t="n">
        <f aca="false">T78</f>
        <v>0</v>
      </c>
      <c r="AG78" s="130" t="n">
        <f aca="false">AG29</f>
        <v>0</v>
      </c>
      <c r="AH78" s="130" t="n">
        <f aca="false">AF78-AG78</f>
        <v>0</v>
      </c>
      <c r="AI78" s="103"/>
      <c r="AJ78" s="130" t="n">
        <f aca="false">AC78-AG78</f>
        <v>803</v>
      </c>
      <c r="AK78" s="130" t="n">
        <f aca="false">AB78-AF78</f>
        <v>803</v>
      </c>
      <c r="AL78" s="103"/>
      <c r="AM78" s="130" t="n">
        <f aca="false">AM29</f>
        <v>86</v>
      </c>
      <c r="AN78" s="130" t="n">
        <f aca="false">AB78-AM78</f>
        <v>717</v>
      </c>
      <c r="AO78" s="103"/>
      <c r="AP78" s="130" t="n">
        <f aca="false">AP29</f>
        <v>86</v>
      </c>
      <c r="AQ78" s="130" t="n">
        <f aca="false">AC78-AP78</f>
        <v>717</v>
      </c>
      <c r="AR78" s="103"/>
      <c r="AS78" s="103"/>
      <c r="AT78" s="103"/>
      <c r="AU78" s="103"/>
    </row>
    <row r="79" customFormat="false" ht="12.75" hidden="false" customHeight="false" outlineLevel="0" collapsed="false">
      <c r="A79" s="132" t="s">
        <v>513</v>
      </c>
      <c r="B79" s="103"/>
      <c r="C79" s="103"/>
      <c r="D79" s="140" t="n">
        <v>0</v>
      </c>
      <c r="E79" s="140" t="n">
        <v>0</v>
      </c>
      <c r="F79" s="140" t="n">
        <v>0</v>
      </c>
      <c r="G79" s="140" t="n">
        <v>0</v>
      </c>
      <c r="H79" s="140" t="n">
        <v>0</v>
      </c>
      <c r="I79" s="140" t="n">
        <v>0</v>
      </c>
      <c r="J79" s="140" t="n">
        <v>0</v>
      </c>
      <c r="K79" s="140" t="n">
        <v>0</v>
      </c>
      <c r="L79" s="140" t="n">
        <v>0</v>
      </c>
      <c r="M79" s="140" t="n">
        <v>0</v>
      </c>
      <c r="N79" s="140" t="n">
        <v>0</v>
      </c>
      <c r="O79" s="140" t="n">
        <v>0</v>
      </c>
      <c r="P79" s="143" t="n">
        <f aca="false">SUM(D79:O79)</f>
        <v>0</v>
      </c>
      <c r="Q79" s="140" t="n">
        <f aca="false">SUM(D79:J79)</f>
        <v>0</v>
      </c>
      <c r="R79" s="143" t="n">
        <f aca="false">P79-Q79</f>
        <v>0</v>
      </c>
      <c r="S79" s="103"/>
      <c r="T79" s="140" t="n">
        <v>0</v>
      </c>
      <c r="U79" s="140" t="n">
        <v>0</v>
      </c>
      <c r="V79" s="140" t="n">
        <v>0</v>
      </c>
      <c r="W79" s="103"/>
      <c r="X79" s="103"/>
      <c r="Y79" s="103"/>
      <c r="Z79" s="103"/>
      <c r="AA79" s="103" t="str">
        <f aca="false">A79</f>
        <v>      Oil &amp; Gas Exploration Expenses</v>
      </c>
      <c r="AB79" s="143" t="n">
        <f aca="false">P79</f>
        <v>0</v>
      </c>
      <c r="AC79" s="140" t="n">
        <f aca="false">SUM(D79:L79)</f>
        <v>0</v>
      </c>
      <c r="AD79" s="143" t="n">
        <f aca="false">AB79-AC79</f>
        <v>0</v>
      </c>
      <c r="AE79" s="103"/>
      <c r="AF79" s="143" t="n">
        <f aca="false">T79</f>
        <v>0</v>
      </c>
      <c r="AG79" s="140" t="n">
        <v>0</v>
      </c>
      <c r="AH79" s="143" t="n">
        <f aca="false">AF79-AG79</f>
        <v>0</v>
      </c>
      <c r="AI79" s="103"/>
      <c r="AJ79" s="143" t="n">
        <f aca="false">AC79-AG79</f>
        <v>0</v>
      </c>
      <c r="AK79" s="143" t="n">
        <f aca="false">AB79-AF79</f>
        <v>0</v>
      </c>
      <c r="AL79" s="103"/>
      <c r="AM79" s="140" t="n">
        <v>0</v>
      </c>
      <c r="AN79" s="143" t="n">
        <f aca="false">AB79-AM79</f>
        <v>0</v>
      </c>
      <c r="AO79" s="103"/>
      <c r="AP79" s="147" t="n">
        <v>0</v>
      </c>
      <c r="AQ79" s="143" t="n">
        <f aca="false">AC79-AP79</f>
        <v>0</v>
      </c>
      <c r="AR79" s="103"/>
      <c r="AS79" s="103"/>
      <c r="AT79" s="103"/>
      <c r="AU79" s="103"/>
    </row>
    <row r="80" customFormat="false" ht="3.95" hidden="false" customHeight="true" outlineLevel="0" collapsed="false">
      <c r="A80" s="115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0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</row>
    <row r="81" customFormat="false" ht="12.75" hidden="false" customHeight="false" outlineLevel="0" collapsed="false">
      <c r="A81" s="132" t="s">
        <v>514</v>
      </c>
      <c r="B81" s="103"/>
      <c r="C81" s="103"/>
      <c r="D81" s="130" t="n">
        <f aca="false">SUM(D73:D79)</f>
        <v>26254</v>
      </c>
      <c r="E81" s="130" t="n">
        <f aca="false">SUM(E73:E79)</f>
        <v>22863</v>
      </c>
      <c r="F81" s="130" t="n">
        <f aca="false">SUM(F73:F79)</f>
        <v>20510</v>
      </c>
      <c r="G81" s="130" t="n">
        <f aca="false">SUM(G73:G79)</f>
        <v>30384</v>
      </c>
      <c r="H81" s="130" t="n">
        <f aca="false">SUM(H73:H79)</f>
        <v>6463</v>
      </c>
      <c r="I81" s="130" t="n">
        <f aca="false">SUM(I73:I79)</f>
        <v>4120</v>
      </c>
      <c r="J81" s="130" t="n">
        <f aca="false">SUM(J73:J79)</f>
        <v>6976</v>
      </c>
      <c r="K81" s="130" t="n">
        <f aca="false">SUM(K73:K79)</f>
        <v>9668</v>
      </c>
      <c r="L81" s="130" t="n">
        <f aca="false">SUM(L73:L79)</f>
        <v>6753</v>
      </c>
      <c r="M81" s="130" t="n">
        <f aca="false">SUM(M73:M79)</f>
        <v>-7799</v>
      </c>
      <c r="N81" s="130" t="n">
        <f aca="false">SUM(N73:N79)</f>
        <v>18980</v>
      </c>
      <c r="O81" s="130" t="n">
        <f aca="false">SUM(O73:O79)</f>
        <v>21415</v>
      </c>
      <c r="P81" s="130" t="n">
        <f aca="false">SUM(P73:P79)</f>
        <v>166587</v>
      </c>
      <c r="Q81" s="130" t="n">
        <f aca="false">SUM(Q73:Q79)</f>
        <v>117570</v>
      </c>
      <c r="R81" s="130" t="n">
        <f aca="false">SUM(R73:R79)</f>
        <v>49017</v>
      </c>
      <c r="S81" s="103"/>
      <c r="T81" s="130" t="n">
        <f aca="false">SUM(T73:T79)</f>
        <v>158043</v>
      </c>
      <c r="U81" s="130" t="n">
        <f aca="false">SUM(U73:U79)</f>
        <v>109052</v>
      </c>
      <c r="V81" s="130" t="n">
        <f aca="false">SUM(V73:V79)</f>
        <v>48991</v>
      </c>
      <c r="W81" s="103"/>
      <c r="X81" s="103"/>
      <c r="Y81" s="103"/>
      <c r="Z81" s="103"/>
      <c r="AA81" s="103" t="str">
        <f aca="false">A81</f>
        <v>            Total Cash Flow From Operations</v>
      </c>
      <c r="AB81" s="130" t="n">
        <f aca="false">SUM(AB73:AB79)</f>
        <v>166587</v>
      </c>
      <c r="AC81" s="130" t="n">
        <f aca="false">SUM(AC73:AC79)</f>
        <v>133991</v>
      </c>
      <c r="AD81" s="130" t="n">
        <f aca="false">SUM(AD73:AD79)</f>
        <v>32596</v>
      </c>
      <c r="AE81" s="103"/>
      <c r="AF81" s="130" t="n">
        <f aca="false">SUM(AF73:AF79)</f>
        <v>158043</v>
      </c>
      <c r="AG81" s="130" t="n">
        <f aca="false">SUM(AG73:AG79)</f>
        <v>109052</v>
      </c>
      <c r="AH81" s="130" t="n">
        <f aca="false">SUM(AH73:AH79)</f>
        <v>48991</v>
      </c>
      <c r="AI81" s="103"/>
      <c r="AJ81" s="130" t="n">
        <f aca="false">SUM(AJ73:AJ79)</f>
        <v>24939</v>
      </c>
      <c r="AK81" s="130" t="n">
        <f aca="false">SUM(AK73:AK79)</f>
        <v>8544</v>
      </c>
      <c r="AL81" s="103"/>
      <c r="AM81" s="130" t="n">
        <f aca="false">SUM(AM73:AM79)</f>
        <v>169396</v>
      </c>
      <c r="AN81" s="130" t="n">
        <f aca="false">SUM(AN73:AN79)</f>
        <v>-2809</v>
      </c>
      <c r="AO81" s="103"/>
      <c r="AP81" s="130" t="n">
        <f aca="false">SUM(AP73:AP79)</f>
        <v>130407</v>
      </c>
      <c r="AQ81" s="130" t="n">
        <f aca="false">SUM(AQ73:AQ79)</f>
        <v>3584</v>
      </c>
      <c r="AR81" s="103"/>
      <c r="AS81" s="103"/>
      <c r="AT81" s="103"/>
      <c r="AU81" s="103"/>
    </row>
    <row r="82" customFormat="false" ht="6" hidden="false" customHeight="true" outlineLevel="0" collapsed="false">
      <c r="A82" s="115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</row>
    <row r="83" customFormat="false" ht="12.75" hidden="false" customHeight="false" outlineLevel="0" collapsed="false">
      <c r="A83" s="132" t="s">
        <v>515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 t="str">
        <f aca="false">A83</f>
        <v>Working Capital Changes</v>
      </c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</row>
    <row r="84" customFormat="false" ht="12.75" hidden="false" customHeight="false" outlineLevel="0" collapsed="false">
      <c r="A84" s="132" t="s">
        <v>516</v>
      </c>
      <c r="B84" s="103"/>
      <c r="C84" s="103"/>
      <c r="D84" s="131" t="n">
        <v>0</v>
      </c>
      <c r="E84" s="131" t="n">
        <v>0</v>
      </c>
      <c r="F84" s="131" t="n">
        <v>0</v>
      </c>
      <c r="G84" s="131" t="n">
        <v>0</v>
      </c>
      <c r="H84" s="131" t="n">
        <v>0</v>
      </c>
      <c r="I84" s="131" t="n">
        <v>0</v>
      </c>
      <c r="J84" s="131" t="n">
        <v>0</v>
      </c>
      <c r="K84" s="131" t="n">
        <v>0</v>
      </c>
      <c r="L84" s="131" t="n">
        <v>0</v>
      </c>
      <c r="M84" s="131" t="n">
        <v>0</v>
      </c>
      <c r="N84" s="131" t="n">
        <v>0</v>
      </c>
      <c r="O84" s="131" t="n">
        <v>0</v>
      </c>
      <c r="P84" s="130" t="n">
        <f aca="false">SUM(D84:O84)</f>
        <v>0</v>
      </c>
      <c r="Q84" s="131" t="n">
        <f aca="false">SUM(D84:J84)</f>
        <v>0</v>
      </c>
      <c r="R84" s="130" t="n">
        <f aca="false">P84-Q84</f>
        <v>0</v>
      </c>
      <c r="S84" s="103"/>
      <c r="T84" s="131" t="n">
        <v>0</v>
      </c>
      <c r="U84" s="131" t="n">
        <v>0</v>
      </c>
      <c r="V84" s="131" t="n">
        <v>0</v>
      </c>
      <c r="W84" s="103"/>
      <c r="X84" s="103"/>
      <c r="Y84" s="103"/>
      <c r="Z84" s="103"/>
      <c r="AA84" s="103" t="str">
        <f aca="false">A84</f>
        <v>      Accrued Income Taxes</v>
      </c>
      <c r="AB84" s="130" t="n">
        <f aca="false">P84</f>
        <v>0</v>
      </c>
      <c r="AC84" s="131" t="n">
        <f aca="false">SUM(D84:L84)</f>
        <v>0</v>
      </c>
      <c r="AD84" s="130" t="n">
        <f aca="false">AB84-AC84</f>
        <v>0</v>
      </c>
      <c r="AE84" s="103"/>
      <c r="AF84" s="130" t="n">
        <f aca="false">T84</f>
        <v>0</v>
      </c>
      <c r="AG84" s="131" t="n">
        <v>0</v>
      </c>
      <c r="AH84" s="130" t="n">
        <f aca="false">AF84-AG84</f>
        <v>0</v>
      </c>
      <c r="AI84" s="103"/>
      <c r="AJ84" s="130" t="n">
        <f aca="false">AC84-AG84</f>
        <v>0</v>
      </c>
      <c r="AK84" s="130" t="n">
        <f aca="false">AB84-AF84</f>
        <v>0</v>
      </c>
      <c r="AL84" s="103"/>
      <c r="AM84" s="131" t="n">
        <v>0</v>
      </c>
      <c r="AN84" s="130" t="n">
        <f aca="false">AB84-AM84</f>
        <v>0</v>
      </c>
      <c r="AO84" s="103"/>
      <c r="AP84" s="131" t="n">
        <v>0</v>
      </c>
      <c r="AQ84" s="130" t="n">
        <f aca="false">AC84-AP84</f>
        <v>0</v>
      </c>
      <c r="AR84" s="103"/>
      <c r="AS84" s="103"/>
      <c r="AT84" s="103"/>
      <c r="AU84" s="103"/>
    </row>
    <row r="85" customFormat="false" ht="12.75" hidden="false" customHeight="false" outlineLevel="0" collapsed="false">
      <c r="A85" s="132" t="s">
        <v>517</v>
      </c>
      <c r="B85" s="103"/>
      <c r="C85" s="103"/>
      <c r="D85" s="131" t="n">
        <v>0</v>
      </c>
      <c r="E85" s="131" t="n">
        <v>0</v>
      </c>
      <c r="F85" s="131" t="n">
        <v>0</v>
      </c>
      <c r="G85" s="131" t="n">
        <v>0</v>
      </c>
      <c r="H85" s="131" t="n">
        <v>0</v>
      </c>
      <c r="I85" s="131" t="n">
        <v>0</v>
      </c>
      <c r="J85" s="131" t="n">
        <v>0</v>
      </c>
      <c r="K85" s="131" t="n">
        <v>0</v>
      </c>
      <c r="L85" s="131" t="n">
        <v>0</v>
      </c>
      <c r="M85" s="131" t="n">
        <v>0</v>
      </c>
      <c r="N85" s="131" t="n">
        <v>0</v>
      </c>
      <c r="O85" s="131" t="n">
        <v>0</v>
      </c>
      <c r="P85" s="130" t="n">
        <f aca="false">SUM(D85:O85)</f>
        <v>0</v>
      </c>
      <c r="Q85" s="131" t="n">
        <f aca="false">SUM(D85:J85)</f>
        <v>0</v>
      </c>
      <c r="R85" s="130" t="n">
        <f aca="false">P85-Q85</f>
        <v>0</v>
      </c>
      <c r="S85" s="103"/>
      <c r="T85" s="131" t="n">
        <v>0</v>
      </c>
      <c r="U85" s="131" t="n">
        <v>0</v>
      </c>
      <c r="V85" s="131" t="n">
        <v>0</v>
      </c>
      <c r="W85" s="103"/>
      <c r="X85" s="103"/>
      <c r="Y85" s="103"/>
      <c r="Z85" s="103"/>
      <c r="AA85" s="103" t="str">
        <f aca="false">A85</f>
        <v>      Tax Refunds / Payments</v>
      </c>
      <c r="AB85" s="130" t="n">
        <f aca="false">P85</f>
        <v>0</v>
      </c>
      <c r="AC85" s="131" t="n">
        <f aca="false">SUM(D85:L85)</f>
        <v>0</v>
      </c>
      <c r="AD85" s="130" t="n">
        <f aca="false">AB85-AC85</f>
        <v>0</v>
      </c>
      <c r="AE85" s="103"/>
      <c r="AF85" s="130" t="n">
        <f aca="false">T85</f>
        <v>0</v>
      </c>
      <c r="AG85" s="131" t="n">
        <v>0</v>
      </c>
      <c r="AH85" s="130" t="n">
        <f aca="false">AF85-AG85</f>
        <v>0</v>
      </c>
      <c r="AI85" s="103"/>
      <c r="AJ85" s="130" t="n">
        <f aca="false">AC85-AG85</f>
        <v>0</v>
      </c>
      <c r="AK85" s="130" t="n">
        <f aca="false">AB85-AF85</f>
        <v>0</v>
      </c>
      <c r="AL85" s="103"/>
      <c r="AM85" s="131" t="n">
        <v>0</v>
      </c>
      <c r="AN85" s="130" t="n">
        <f aca="false">AB85-AM85</f>
        <v>0</v>
      </c>
      <c r="AO85" s="103"/>
      <c r="AP85" s="131" t="n">
        <v>0</v>
      </c>
      <c r="AQ85" s="130" t="n">
        <f aca="false">AC85-AP85</f>
        <v>0</v>
      </c>
      <c r="AR85" s="103"/>
      <c r="AS85" s="103"/>
      <c r="AT85" s="103"/>
      <c r="AU85" s="103"/>
    </row>
    <row r="86" customFormat="false" ht="12.75" hidden="false" customHeight="false" outlineLevel="0" collapsed="false">
      <c r="A86" s="132" t="s">
        <v>518</v>
      </c>
      <c r="B86" s="103"/>
      <c r="C86" s="103"/>
      <c r="D86" s="130" t="n">
        <f aca="false">SUM(D16:D26)</f>
        <v>52965</v>
      </c>
      <c r="E86" s="130" t="n">
        <f aca="false">SUM(E16:E26)</f>
        <v>-44067</v>
      </c>
      <c r="F86" s="130" t="n">
        <f aca="false">SUM(F16:F26)</f>
        <v>-6731</v>
      </c>
      <c r="G86" s="130" t="n">
        <f aca="false">SUM(G16:G26)</f>
        <v>12272</v>
      </c>
      <c r="H86" s="130" t="n">
        <f aca="false">SUM(H16:H26)</f>
        <v>218</v>
      </c>
      <c r="I86" s="130" t="n">
        <f aca="false">SUM(I16:I26)</f>
        <v>-17032</v>
      </c>
      <c r="J86" s="130" t="n">
        <f aca="false">SUM(J16:J26)</f>
        <v>5381</v>
      </c>
      <c r="K86" s="130" t="n">
        <f aca="false">SUM(K16:K26)</f>
        <v>8364</v>
      </c>
      <c r="L86" s="130" t="n">
        <f aca="false">SUM(L16:L26)</f>
        <v>-1428</v>
      </c>
      <c r="M86" s="130" t="n">
        <f aca="false">SUM(M16:M26)</f>
        <v>329</v>
      </c>
      <c r="N86" s="130" t="n">
        <f aca="false">SUM(N16:N26)</f>
        <v>-32511</v>
      </c>
      <c r="O86" s="130" t="n">
        <f aca="false">SUM(O16:O26)</f>
        <v>-21766</v>
      </c>
      <c r="P86" s="130" t="n">
        <f aca="false">SUM(D86:O86)</f>
        <v>-44006</v>
      </c>
      <c r="Q86" s="131" t="n">
        <f aca="false">SUM(D86:J86)</f>
        <v>3006</v>
      </c>
      <c r="R86" s="130" t="n">
        <f aca="false">P86-Q86</f>
        <v>-47012</v>
      </c>
      <c r="S86" s="103"/>
      <c r="T86" s="130" t="n">
        <f aca="false">SUM(T16:T26)</f>
        <v>-21109</v>
      </c>
      <c r="U86" s="130" t="n">
        <f aca="false">SUM(U16:U26)</f>
        <v>20466</v>
      </c>
      <c r="V86" s="130" t="n">
        <f aca="false">SUM(V16:V26)</f>
        <v>-41575</v>
      </c>
      <c r="W86" s="103"/>
      <c r="X86" s="103"/>
      <c r="Y86" s="103"/>
      <c r="Z86" s="103"/>
      <c r="AA86" s="103" t="str">
        <f aca="false">A86</f>
        <v>      Others, Net </v>
      </c>
      <c r="AB86" s="130" t="n">
        <f aca="false">P86</f>
        <v>-44006</v>
      </c>
      <c r="AC86" s="131" t="n">
        <f aca="false">SUM(D86:L86)</f>
        <v>9942</v>
      </c>
      <c r="AD86" s="130" t="n">
        <f aca="false">AB86-AC86</f>
        <v>-53948</v>
      </c>
      <c r="AE86" s="103"/>
      <c r="AF86" s="130" t="n">
        <f aca="false">T86</f>
        <v>-21109</v>
      </c>
      <c r="AG86" s="130" t="n">
        <f aca="false">SUM(AG16:AG26)</f>
        <v>20466</v>
      </c>
      <c r="AH86" s="130" t="n">
        <f aca="false">AF86-AG86</f>
        <v>-41575</v>
      </c>
      <c r="AI86" s="103"/>
      <c r="AJ86" s="130" t="n">
        <f aca="false">AC86-AG86</f>
        <v>-10524</v>
      </c>
      <c r="AK86" s="130" t="n">
        <f aca="false">AB86-AF86</f>
        <v>-22897</v>
      </c>
      <c r="AL86" s="103"/>
      <c r="AM86" s="130" t="n">
        <f aca="false">SUM(AM16:AM26)</f>
        <v>-35721</v>
      </c>
      <c r="AN86" s="130" t="n">
        <f aca="false">AB86-AM86</f>
        <v>-8285</v>
      </c>
      <c r="AO86" s="103"/>
      <c r="AP86" s="130" t="n">
        <f aca="false">SUM(AP16:AP26)</f>
        <v>14102</v>
      </c>
      <c r="AQ86" s="130" t="n">
        <f aca="false">AC86-AP86</f>
        <v>-4160</v>
      </c>
      <c r="AR86" s="103"/>
      <c r="AS86" s="103"/>
      <c r="AT86" s="103"/>
      <c r="AU86" s="103"/>
    </row>
    <row r="87" customFormat="false" ht="12.75" hidden="false" customHeight="false" outlineLevel="0" collapsed="false">
      <c r="A87" s="132" t="s">
        <v>519</v>
      </c>
      <c r="B87" s="103"/>
      <c r="C87" s="103"/>
      <c r="D87" s="130" t="n">
        <f aca="false">D30</f>
        <v>-525</v>
      </c>
      <c r="E87" s="130" t="n">
        <f aca="false">E30</f>
        <v>-329</v>
      </c>
      <c r="F87" s="130" t="n">
        <f aca="false">F30</f>
        <v>-313</v>
      </c>
      <c r="G87" s="130" t="n">
        <f aca="false">G30</f>
        <v>-1284</v>
      </c>
      <c r="H87" s="130" t="n">
        <f aca="false">H30</f>
        <v>-318</v>
      </c>
      <c r="I87" s="130" t="n">
        <f aca="false">I30</f>
        <v>-436</v>
      </c>
      <c r="J87" s="130" t="n">
        <f aca="false">J30</f>
        <v>-335</v>
      </c>
      <c r="K87" s="130" t="n">
        <f aca="false">K30</f>
        <v>-270</v>
      </c>
      <c r="L87" s="130" t="n">
        <f aca="false">L30</f>
        <v>-324</v>
      </c>
      <c r="M87" s="130" t="n">
        <f aca="false">M30</f>
        <v>-325</v>
      </c>
      <c r="N87" s="130" t="n">
        <f aca="false">N30</f>
        <v>-342</v>
      </c>
      <c r="O87" s="130" t="n">
        <f aca="false">O30</f>
        <v>-16</v>
      </c>
      <c r="P87" s="130" t="n">
        <f aca="false">SUM(D87:O87)</f>
        <v>-4817</v>
      </c>
      <c r="Q87" s="131" t="n">
        <f aca="false">SUM(D87:J87)</f>
        <v>-3540</v>
      </c>
      <c r="R87" s="130" t="n">
        <f aca="false">P87-Q87</f>
        <v>-1277</v>
      </c>
      <c r="S87" s="103"/>
      <c r="T87" s="130" t="n">
        <f aca="false">T30</f>
        <v>-3693</v>
      </c>
      <c r="U87" s="130" t="n">
        <f aca="false">U30</f>
        <v>-3010</v>
      </c>
      <c r="V87" s="130" t="n">
        <f aca="false">V30</f>
        <v>-683</v>
      </c>
      <c r="W87" s="103"/>
      <c r="X87" s="103"/>
      <c r="Y87" s="103"/>
      <c r="Z87" s="103"/>
      <c r="AA87" s="103" t="str">
        <f aca="false">A87</f>
        <v>Equity Earnings</v>
      </c>
      <c r="AB87" s="130" t="n">
        <f aca="false">P87</f>
        <v>-4817</v>
      </c>
      <c r="AC87" s="131" t="n">
        <f aca="false">SUM(D87:L87)</f>
        <v>-4134</v>
      </c>
      <c r="AD87" s="130" t="n">
        <f aca="false">AB87-AC87</f>
        <v>-683</v>
      </c>
      <c r="AE87" s="103"/>
      <c r="AF87" s="130" t="n">
        <f aca="false">T87</f>
        <v>-3693</v>
      </c>
      <c r="AG87" s="130" t="n">
        <f aca="false">AG30</f>
        <v>-3010</v>
      </c>
      <c r="AH87" s="130" t="n">
        <f aca="false">AF87-AG87</f>
        <v>-683</v>
      </c>
      <c r="AI87" s="103"/>
      <c r="AJ87" s="130" t="n">
        <f aca="false">AC87-AG87</f>
        <v>-1124</v>
      </c>
      <c r="AK87" s="130" t="n">
        <f aca="false">AB87-AF87</f>
        <v>-1124</v>
      </c>
      <c r="AL87" s="103"/>
      <c r="AM87" s="130" t="n">
        <f aca="false">AM30</f>
        <v>-4840</v>
      </c>
      <c r="AN87" s="130" t="n">
        <f aca="false">AB87-AM87</f>
        <v>23</v>
      </c>
      <c r="AO87" s="103"/>
      <c r="AP87" s="130" t="n">
        <f aca="false">AP30</f>
        <v>-4157</v>
      </c>
      <c r="AQ87" s="130" t="n">
        <f aca="false">AC87-AP87</f>
        <v>23</v>
      </c>
      <c r="AR87" s="103"/>
      <c r="AS87" s="103"/>
      <c r="AT87" s="103"/>
      <c r="AU87" s="103"/>
    </row>
    <row r="88" customFormat="false" ht="12.75" hidden="false" customHeight="false" outlineLevel="0" collapsed="false">
      <c r="A88" s="132" t="s">
        <v>520</v>
      </c>
      <c r="B88" s="103"/>
      <c r="C88" s="103"/>
      <c r="D88" s="130" t="n">
        <f aca="false">D31</f>
        <v>0</v>
      </c>
      <c r="E88" s="130" t="n">
        <f aca="false">E31</f>
        <v>0</v>
      </c>
      <c r="F88" s="130" t="n">
        <f aca="false">F31</f>
        <v>800</v>
      </c>
      <c r="G88" s="130" t="n">
        <f aca="false">G31</f>
        <v>0</v>
      </c>
      <c r="H88" s="130" t="n">
        <f aca="false">H31</f>
        <v>0</v>
      </c>
      <c r="I88" s="130" t="n">
        <f aca="false">I31</f>
        <v>3800</v>
      </c>
      <c r="J88" s="130" t="n">
        <f aca="false">J31</f>
        <v>0</v>
      </c>
      <c r="K88" s="130" t="n">
        <f aca="false">K31</f>
        <v>2000</v>
      </c>
      <c r="L88" s="130" t="n">
        <f aca="false">L31</f>
        <v>800</v>
      </c>
      <c r="M88" s="130" t="n">
        <f aca="false">M31</f>
        <v>0</v>
      </c>
      <c r="N88" s="130" t="n">
        <f aca="false">N31</f>
        <v>0</v>
      </c>
      <c r="O88" s="130" t="n">
        <f aca="false">O31</f>
        <v>800</v>
      </c>
      <c r="P88" s="130" t="n">
        <f aca="false">SUM(D88:O88)</f>
        <v>8200</v>
      </c>
      <c r="Q88" s="131" t="n">
        <f aca="false">SUM(D88:J88)</f>
        <v>4600</v>
      </c>
      <c r="R88" s="130" t="n">
        <f aca="false">P88-Q88</f>
        <v>3600</v>
      </c>
      <c r="S88" s="103"/>
      <c r="T88" s="130" t="n">
        <f aca="false">T31</f>
        <v>3200</v>
      </c>
      <c r="U88" s="130" t="n">
        <f aca="false">U31</f>
        <v>2400</v>
      </c>
      <c r="V88" s="130" t="n">
        <f aca="false">V31</f>
        <v>800</v>
      </c>
      <c r="W88" s="103"/>
      <c r="X88" s="103"/>
      <c r="Y88" s="103"/>
      <c r="Z88" s="103"/>
      <c r="AA88" s="103" t="str">
        <f aca="false">A88</f>
        <v>Equity / Partnership Distributions</v>
      </c>
      <c r="AB88" s="130" t="n">
        <f aca="false">P88</f>
        <v>8200</v>
      </c>
      <c r="AC88" s="131" t="n">
        <f aca="false">SUM(D88:L88)</f>
        <v>7400</v>
      </c>
      <c r="AD88" s="130" t="n">
        <f aca="false">AB88-AC88</f>
        <v>800</v>
      </c>
      <c r="AE88" s="103"/>
      <c r="AF88" s="130" t="n">
        <f aca="false">T88</f>
        <v>3200</v>
      </c>
      <c r="AG88" s="130" t="n">
        <f aca="false">AG31</f>
        <v>2400</v>
      </c>
      <c r="AH88" s="130" t="n">
        <f aca="false">AF88-AG88</f>
        <v>800</v>
      </c>
      <c r="AI88" s="103"/>
      <c r="AJ88" s="130" t="n">
        <f aca="false">AC88-AG88</f>
        <v>5000</v>
      </c>
      <c r="AK88" s="130" t="n">
        <f aca="false">AB88-AF88</f>
        <v>5000</v>
      </c>
      <c r="AL88" s="103"/>
      <c r="AM88" s="130" t="n">
        <f aca="false">AM31</f>
        <v>6200</v>
      </c>
      <c r="AN88" s="130" t="n">
        <f aca="false">AB88-AM88</f>
        <v>2000</v>
      </c>
      <c r="AO88" s="103"/>
      <c r="AP88" s="130" t="n">
        <f aca="false">AP31</f>
        <v>5400</v>
      </c>
      <c r="AQ88" s="130" t="n">
        <f aca="false">AC88-AP88</f>
        <v>2000</v>
      </c>
      <c r="AR88" s="103"/>
      <c r="AS88" s="103"/>
      <c r="AT88" s="103"/>
      <c r="AU88" s="103"/>
    </row>
    <row r="89" customFormat="false" ht="12.75" hidden="false" customHeight="false" outlineLevel="0" collapsed="false">
      <c r="A89" s="132" t="s">
        <v>521</v>
      </c>
      <c r="B89" s="103"/>
      <c r="C89" s="103"/>
      <c r="D89" s="130" t="n">
        <f aca="false">D39</f>
        <v>0</v>
      </c>
      <c r="E89" s="130" t="n">
        <f aca="false">E39</f>
        <v>0</v>
      </c>
      <c r="F89" s="130" t="n">
        <f aca="false">F39</f>
        <v>0</v>
      </c>
      <c r="G89" s="130" t="n">
        <f aca="false">G39</f>
        <v>0</v>
      </c>
      <c r="H89" s="130" t="n">
        <f aca="false">H39</f>
        <v>0</v>
      </c>
      <c r="I89" s="130" t="n">
        <f aca="false">I39</f>
        <v>3353</v>
      </c>
      <c r="J89" s="130" t="n">
        <f aca="false">J39</f>
        <v>0</v>
      </c>
      <c r="K89" s="130" t="n">
        <f aca="false">K39</f>
        <v>0</v>
      </c>
      <c r="L89" s="130" t="n">
        <f aca="false">L39</f>
        <v>0</v>
      </c>
      <c r="M89" s="130" t="n">
        <f aca="false">M39</f>
        <v>0</v>
      </c>
      <c r="N89" s="130" t="n">
        <f aca="false">N39</f>
        <v>0</v>
      </c>
      <c r="O89" s="130" t="n">
        <f aca="false">O39</f>
        <v>2300</v>
      </c>
      <c r="P89" s="130" t="n">
        <f aca="false">SUM(D89:O89)</f>
        <v>5653</v>
      </c>
      <c r="Q89" s="131" t="n">
        <f aca="false">SUM(D89:J89)</f>
        <v>3353</v>
      </c>
      <c r="R89" s="130" t="n">
        <f aca="false">P89-Q89</f>
        <v>2300</v>
      </c>
      <c r="S89" s="103"/>
      <c r="T89" s="130" t="n">
        <f aca="false">T39</f>
        <v>7500</v>
      </c>
      <c r="U89" s="130" t="n">
        <f aca="false">U39</f>
        <v>7500</v>
      </c>
      <c r="V89" s="130" t="n">
        <f aca="false">V39</f>
        <v>0</v>
      </c>
      <c r="W89" s="103"/>
      <c r="X89" s="103"/>
      <c r="Y89" s="103"/>
      <c r="Z89" s="103"/>
      <c r="AA89" s="103" t="str">
        <f aca="false">A89</f>
        <v>Proceeds from Sale of Investments</v>
      </c>
      <c r="AB89" s="130" t="n">
        <f aca="false">P89</f>
        <v>5653</v>
      </c>
      <c r="AC89" s="131" t="n">
        <f aca="false">SUM(D89:L89)</f>
        <v>3353</v>
      </c>
      <c r="AD89" s="130" t="n">
        <f aca="false">AB89-AC89</f>
        <v>2300</v>
      </c>
      <c r="AE89" s="103"/>
      <c r="AF89" s="130" t="n">
        <f aca="false">T89</f>
        <v>7500</v>
      </c>
      <c r="AG89" s="130" t="n">
        <f aca="false">AG39</f>
        <v>7500</v>
      </c>
      <c r="AH89" s="130" t="n">
        <f aca="false">AF89-AG89</f>
        <v>0</v>
      </c>
      <c r="AI89" s="103"/>
      <c r="AJ89" s="130" t="n">
        <f aca="false">AC89-AG89</f>
        <v>-4147</v>
      </c>
      <c r="AK89" s="130" t="n">
        <f aca="false">AB89-AF89</f>
        <v>-1847</v>
      </c>
      <c r="AL89" s="103"/>
      <c r="AM89" s="130" t="n">
        <f aca="false">AM39</f>
        <v>11500</v>
      </c>
      <c r="AN89" s="130" t="n">
        <f aca="false">AB89-AM89</f>
        <v>-5847</v>
      </c>
      <c r="AO89" s="103"/>
      <c r="AP89" s="130" t="n">
        <f aca="false">AP39</f>
        <v>3400</v>
      </c>
      <c r="AQ89" s="130" t="n">
        <f aca="false">AC89-AP89</f>
        <v>-47</v>
      </c>
      <c r="AR89" s="103"/>
      <c r="AS89" s="103"/>
      <c r="AT89" s="103"/>
      <c r="AU89" s="103"/>
    </row>
    <row r="90" customFormat="false" ht="12.75" hidden="false" customHeight="false" outlineLevel="0" collapsed="false">
      <c r="A90" s="132" t="s">
        <v>522</v>
      </c>
      <c r="B90" s="103"/>
      <c r="C90" s="103"/>
      <c r="D90" s="130" t="n">
        <f aca="false">D40+D41</f>
        <v>-46095</v>
      </c>
      <c r="E90" s="130" t="n">
        <f aca="false">E40+E41</f>
        <v>-10286</v>
      </c>
      <c r="F90" s="130" t="n">
        <f aca="false">F40+F41</f>
        <v>-2257</v>
      </c>
      <c r="G90" s="130" t="n">
        <f aca="false">G40+G41</f>
        <v>5103</v>
      </c>
      <c r="H90" s="130" t="n">
        <f aca="false">H40+H41</f>
        <v>1068</v>
      </c>
      <c r="I90" s="130" t="n">
        <f aca="false">I40+I41</f>
        <v>3139</v>
      </c>
      <c r="J90" s="130" t="n">
        <f aca="false">J40+J41</f>
        <v>-2549</v>
      </c>
      <c r="K90" s="130" t="n">
        <f aca="false">K40+K41</f>
        <v>-8496</v>
      </c>
      <c r="L90" s="130" t="n">
        <f aca="false">L40+L41</f>
        <v>-11400</v>
      </c>
      <c r="M90" s="130" t="n">
        <f aca="false">M40+M41</f>
        <v>-8961</v>
      </c>
      <c r="N90" s="130" t="n">
        <f aca="false">N40+N41</f>
        <v>-8959</v>
      </c>
      <c r="O90" s="130" t="n">
        <f aca="false">O40+O41</f>
        <v>-4570</v>
      </c>
      <c r="P90" s="130" t="n">
        <f aca="false">SUM(D90:O90)</f>
        <v>-94263</v>
      </c>
      <c r="Q90" s="131" t="n">
        <f aca="false">SUM(D90:J90)</f>
        <v>-51877</v>
      </c>
      <c r="R90" s="130" t="n">
        <f aca="false">P90-Q90</f>
        <v>-42386</v>
      </c>
      <c r="S90" s="103"/>
      <c r="T90" s="130" t="n">
        <f aca="false">T40+T41</f>
        <v>-90700</v>
      </c>
      <c r="U90" s="130" t="n">
        <f aca="false">U40+U41</f>
        <v>-77600</v>
      </c>
      <c r="V90" s="130" t="n">
        <f aca="false">V40+V41</f>
        <v>-13100</v>
      </c>
      <c r="W90" s="103"/>
      <c r="X90" s="103"/>
      <c r="Y90" s="103"/>
      <c r="Z90" s="103"/>
      <c r="AA90" s="103" t="str">
        <f aca="false">A90</f>
        <v>Capital Expenditures (Excluding Interco. Transactions)</v>
      </c>
      <c r="AB90" s="130" t="n">
        <f aca="false">P90</f>
        <v>-94263</v>
      </c>
      <c r="AC90" s="131" t="n">
        <f aca="false">SUM(D90:L90)</f>
        <v>-71773</v>
      </c>
      <c r="AD90" s="130" t="n">
        <f aca="false">AB90-AC90</f>
        <v>-22490</v>
      </c>
      <c r="AE90" s="103"/>
      <c r="AF90" s="130" t="n">
        <f aca="false">T90</f>
        <v>-90700</v>
      </c>
      <c r="AG90" s="130" t="n">
        <f aca="false">AG40+AG41</f>
        <v>-77600</v>
      </c>
      <c r="AH90" s="130" t="n">
        <f aca="false">AF90-AG90</f>
        <v>-13100</v>
      </c>
      <c r="AI90" s="103"/>
      <c r="AJ90" s="130" t="n">
        <f aca="false">AC90-AG90</f>
        <v>5827</v>
      </c>
      <c r="AK90" s="130" t="n">
        <f aca="false">AB90-AF90</f>
        <v>-3563</v>
      </c>
      <c r="AL90" s="103"/>
      <c r="AM90" s="130" t="n">
        <f aca="false">AM40+AM41</f>
        <v>-108905</v>
      </c>
      <c r="AN90" s="130" t="n">
        <f aca="false">AB90-AM90</f>
        <v>14642</v>
      </c>
      <c r="AO90" s="103"/>
      <c r="AP90" s="130" t="n">
        <f aca="false">AP40+AP41</f>
        <v>-84146</v>
      </c>
      <c r="AQ90" s="130" t="n">
        <f aca="false">AC90-AP90</f>
        <v>12373</v>
      </c>
      <c r="AR90" s="103"/>
      <c r="AS90" s="103"/>
      <c r="AT90" s="103"/>
      <c r="AU90" s="103"/>
    </row>
    <row r="91" customFormat="false" ht="12.75" hidden="false" customHeight="false" outlineLevel="0" collapsed="false">
      <c r="A91" s="132" t="s">
        <v>523</v>
      </c>
      <c r="B91" s="103"/>
      <c r="C91" s="103"/>
      <c r="D91" s="131" t="n">
        <v>0</v>
      </c>
      <c r="E91" s="131" t="n">
        <v>0</v>
      </c>
      <c r="F91" s="131" t="n">
        <v>0</v>
      </c>
      <c r="G91" s="131" t="n">
        <v>0</v>
      </c>
      <c r="H91" s="131" t="n">
        <v>0</v>
      </c>
      <c r="I91" s="131" t="n">
        <v>0</v>
      </c>
      <c r="J91" s="131" t="n">
        <v>0</v>
      </c>
      <c r="K91" s="131" t="n">
        <v>0</v>
      </c>
      <c r="L91" s="131" t="n">
        <v>0</v>
      </c>
      <c r="M91" s="131" t="n">
        <v>0</v>
      </c>
      <c r="N91" s="131" t="n">
        <v>0</v>
      </c>
      <c r="O91" s="131" t="n">
        <v>0</v>
      </c>
      <c r="P91" s="130" t="n">
        <f aca="false">SUM(D91:O91)</f>
        <v>0</v>
      </c>
      <c r="Q91" s="131" t="n">
        <f aca="false">SUM(D91:J91)</f>
        <v>0</v>
      </c>
      <c r="R91" s="130" t="n">
        <f aca="false">P91-Q91</f>
        <v>0</v>
      </c>
      <c r="S91" s="103"/>
      <c r="T91" s="131" t="n">
        <v>0</v>
      </c>
      <c r="U91" s="131" t="n">
        <v>0</v>
      </c>
      <c r="V91" s="131" t="n">
        <v>0</v>
      </c>
      <c r="W91" s="103"/>
      <c r="X91" s="103"/>
      <c r="Y91" s="103"/>
      <c r="Z91" s="103"/>
      <c r="AA91" s="103" t="str">
        <f aca="false">A91</f>
        <v>Equity Investments</v>
      </c>
      <c r="AB91" s="130" t="n">
        <f aca="false">P91</f>
        <v>0</v>
      </c>
      <c r="AC91" s="131" t="n">
        <f aca="false">SUM(D91:L91)</f>
        <v>0</v>
      </c>
      <c r="AD91" s="130" t="n">
        <f aca="false">AB91-AC91</f>
        <v>0</v>
      </c>
      <c r="AE91" s="103"/>
      <c r="AF91" s="130" t="n">
        <f aca="false">T91</f>
        <v>0</v>
      </c>
      <c r="AG91" s="131" t="n">
        <v>0</v>
      </c>
      <c r="AH91" s="130" t="n">
        <f aca="false">AF91-AG91</f>
        <v>0</v>
      </c>
      <c r="AI91" s="103"/>
      <c r="AJ91" s="130" t="n">
        <f aca="false">AC91-AG91</f>
        <v>0</v>
      </c>
      <c r="AK91" s="130" t="n">
        <f aca="false">AB91-AF91</f>
        <v>0</v>
      </c>
      <c r="AL91" s="103"/>
      <c r="AM91" s="131" t="n">
        <v>0</v>
      </c>
      <c r="AN91" s="130" t="n">
        <f aca="false">AB91-AM91</f>
        <v>0</v>
      </c>
      <c r="AO91" s="103"/>
      <c r="AP91" s="131" t="n">
        <v>0</v>
      </c>
      <c r="AQ91" s="130" t="n">
        <f aca="false">AC91-AP91</f>
        <v>0</v>
      </c>
      <c r="AR91" s="103"/>
      <c r="AS91" s="103"/>
      <c r="AT91" s="103"/>
      <c r="AU91" s="103"/>
    </row>
    <row r="92" customFormat="false" ht="12.75" hidden="false" customHeight="false" outlineLevel="0" collapsed="false">
      <c r="A92" s="132" t="s">
        <v>524</v>
      </c>
      <c r="B92" s="103"/>
      <c r="C92" s="103"/>
      <c r="D92" s="143" t="n">
        <f aca="false">SUM(D28)+SUM(D32:D34)+D42+D43</f>
        <v>-1235</v>
      </c>
      <c r="E92" s="143" t="n">
        <f aca="false">SUM(E28)+SUM(E32:E34)+E42+E43</f>
        <v>2723</v>
      </c>
      <c r="F92" s="143" t="n">
        <f aca="false">SUM(F28)+SUM(F32:F34)+F42+F43</f>
        <v>-3715</v>
      </c>
      <c r="G92" s="143" t="n">
        <f aca="false">SUM(G28)+SUM(G32:G34)+G42+G43</f>
        <v>982</v>
      </c>
      <c r="H92" s="143" t="n">
        <f aca="false">SUM(H28)+SUM(H32:H34)+H42+H43</f>
        <v>5914</v>
      </c>
      <c r="I92" s="143" t="n">
        <f aca="false">SUM(I28)+SUM(I32:I34)+I42+I43</f>
        <v>-677</v>
      </c>
      <c r="J92" s="143" t="n">
        <f aca="false">SUM(J28)+SUM(J32:J34)+J42+J43</f>
        <v>2228</v>
      </c>
      <c r="K92" s="143" t="n">
        <f aca="false">SUM(K28)+SUM(K32:K34)+K42+K43</f>
        <v>183</v>
      </c>
      <c r="L92" s="143" t="n">
        <f aca="false">SUM(L28)+SUM(L32:L34)+L42+L43</f>
        <v>199</v>
      </c>
      <c r="M92" s="143" t="n">
        <f aca="false">SUM(M28)+SUM(M32:M34)+M42+M43</f>
        <v>156</v>
      </c>
      <c r="N92" s="143" t="n">
        <f aca="false">SUM(N28)+SUM(N32:N34)+N42+N43</f>
        <v>832</v>
      </c>
      <c r="O92" s="143" t="n">
        <f aca="false">SUM(O28)+SUM(O32:O34)+O42+O43</f>
        <v>-12463</v>
      </c>
      <c r="P92" s="143" t="n">
        <f aca="false">SUM(D92:O92)</f>
        <v>-4873</v>
      </c>
      <c r="Q92" s="140" t="n">
        <f aca="false">SUM(D92:J92)</f>
        <v>6220</v>
      </c>
      <c r="R92" s="143" t="n">
        <f aca="false">P92-Q92</f>
        <v>-11093</v>
      </c>
      <c r="S92" s="103"/>
      <c r="T92" s="143" t="n">
        <f aca="false">SUM(T28)+SUM(T32:T34)+T42+T43</f>
        <v>-14541</v>
      </c>
      <c r="U92" s="143" t="n">
        <f aca="false">SUM(U28)+SUM(U32:U34)+U42+U43</f>
        <v>-11908</v>
      </c>
      <c r="V92" s="143" t="n">
        <f aca="false">SUM(V28)+SUM(V32:V34)+V42+V43</f>
        <v>-2633</v>
      </c>
      <c r="W92" s="103"/>
      <c r="X92" s="103"/>
      <c r="Y92" s="103"/>
      <c r="Z92" s="103"/>
      <c r="AA92" s="103" t="str">
        <f aca="false">A92</f>
        <v>Others, Net </v>
      </c>
      <c r="AB92" s="143" t="n">
        <f aca="false">P92</f>
        <v>-4873</v>
      </c>
      <c r="AC92" s="140" t="n">
        <f aca="false">SUM(D92:L92)</f>
        <v>6602</v>
      </c>
      <c r="AD92" s="143" t="n">
        <f aca="false">AB92-AC92</f>
        <v>-11475</v>
      </c>
      <c r="AE92" s="103"/>
      <c r="AF92" s="143" t="n">
        <f aca="false">T92</f>
        <v>-14541</v>
      </c>
      <c r="AG92" s="143" t="n">
        <f aca="false">SUM(AG28)+SUM(AG32:AG34)+AG42+AG43</f>
        <v>-11908</v>
      </c>
      <c r="AH92" s="143" t="n">
        <f aca="false">AF92-AG92</f>
        <v>-2633</v>
      </c>
      <c r="AI92" s="103"/>
      <c r="AJ92" s="143" t="n">
        <f aca="false">AC92-AG92</f>
        <v>18510</v>
      </c>
      <c r="AK92" s="143" t="n">
        <f aca="false">AB92-AF92</f>
        <v>9668</v>
      </c>
      <c r="AL92" s="103"/>
      <c r="AM92" s="143" t="n">
        <f aca="false">SUM(AM28)+SUM(AM32:AM34)+AM42+AM43</f>
        <v>-18141</v>
      </c>
      <c r="AN92" s="143" t="n">
        <f aca="false">AB92-AM92</f>
        <v>13268</v>
      </c>
      <c r="AO92" s="103"/>
      <c r="AP92" s="143" t="n">
        <f aca="false">SUM(AP28)+SUM(AP32:AP34)+AP42+AP43</f>
        <v>2533</v>
      </c>
      <c r="AQ92" s="143" t="n">
        <f aca="false">AC92-AP92</f>
        <v>4069</v>
      </c>
      <c r="AR92" s="103"/>
      <c r="AS92" s="103"/>
      <c r="AT92" s="103"/>
      <c r="AU92" s="103"/>
    </row>
    <row r="93" customFormat="false" ht="6" hidden="false" customHeight="true" outlineLevel="0" collapsed="false">
      <c r="A93" s="115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</row>
    <row r="94" customFormat="false" ht="12.75" hidden="false" customHeight="false" outlineLevel="0" collapsed="false">
      <c r="A94" s="129" t="s">
        <v>525</v>
      </c>
      <c r="B94" s="103"/>
      <c r="C94" s="103"/>
      <c r="D94" s="155" t="n">
        <f aca="false">SUM(D81:D92)</f>
        <v>31364</v>
      </c>
      <c r="E94" s="155" t="n">
        <f aca="false">SUM(E81:E92)</f>
        <v>-29096</v>
      </c>
      <c r="F94" s="155" t="n">
        <f aca="false">SUM(F81:F92)</f>
        <v>8294</v>
      </c>
      <c r="G94" s="155" t="n">
        <f aca="false">SUM(G81:G92)</f>
        <v>47457</v>
      </c>
      <c r="H94" s="155" t="n">
        <f aca="false">SUM(H81:H92)</f>
        <v>13345</v>
      </c>
      <c r="I94" s="155" t="n">
        <f aca="false">SUM(I81:I92)</f>
        <v>-3733</v>
      </c>
      <c r="J94" s="155" t="n">
        <f aca="false">SUM(J81:J92)</f>
        <v>11701</v>
      </c>
      <c r="K94" s="155" t="n">
        <f aca="false">SUM(K81:K92)</f>
        <v>11449</v>
      </c>
      <c r="L94" s="155" t="n">
        <f aca="false">SUM(L81:L92)</f>
        <v>-5400</v>
      </c>
      <c r="M94" s="155" t="n">
        <f aca="false">SUM(M81:M92)</f>
        <v>-16600</v>
      </c>
      <c r="N94" s="155" t="n">
        <f aca="false">SUM(N81:N92)</f>
        <v>-22000</v>
      </c>
      <c r="O94" s="155" t="n">
        <f aca="false">SUM(O81:O92)</f>
        <v>-14300</v>
      </c>
      <c r="P94" s="155" t="n">
        <f aca="false">SUM(P81:P92)</f>
        <v>32481</v>
      </c>
      <c r="Q94" s="155" t="n">
        <f aca="false">SUM(Q81:Q92)</f>
        <v>79332</v>
      </c>
      <c r="R94" s="155" t="n">
        <f aca="false">SUM(R81:R92)</f>
        <v>-46851</v>
      </c>
      <c r="S94" s="103"/>
      <c r="T94" s="155" t="n">
        <f aca="false">SUM(T81:T92)</f>
        <v>38700</v>
      </c>
      <c r="U94" s="155" t="n">
        <f aca="false">SUM(U81:U92)</f>
        <v>46900</v>
      </c>
      <c r="V94" s="155" t="n">
        <f aca="false">SUM(V81:V92)</f>
        <v>-8200</v>
      </c>
      <c r="W94" s="103"/>
      <c r="X94" s="103"/>
      <c r="Y94" s="103"/>
      <c r="Z94" s="103"/>
      <c r="AA94" s="100" t="str">
        <f aca="false">A94</f>
        <v>Net Cash Flow</v>
      </c>
      <c r="AB94" s="155" t="n">
        <f aca="false">SUM(AB81:AB92)</f>
        <v>32481</v>
      </c>
      <c r="AC94" s="155" t="n">
        <f aca="false">SUM(AC81:AC92)</f>
        <v>85381</v>
      </c>
      <c r="AD94" s="155" t="n">
        <f aca="false">SUM(AD81:AD92)</f>
        <v>-52900</v>
      </c>
      <c r="AE94" s="103"/>
      <c r="AF94" s="155" t="n">
        <f aca="false">SUM(AF81:AF92)</f>
        <v>38700</v>
      </c>
      <c r="AG94" s="155" t="n">
        <f aca="false">SUM(AG81:AG92)</f>
        <v>46900</v>
      </c>
      <c r="AH94" s="155" t="n">
        <f aca="false">SUM(AH81:AH92)</f>
        <v>-8200</v>
      </c>
      <c r="AI94" s="103"/>
      <c r="AJ94" s="155" t="n">
        <f aca="false">SUM(AJ81:AJ92)</f>
        <v>38481</v>
      </c>
      <c r="AK94" s="155" t="n">
        <f aca="false">SUM(AK81:AK92)</f>
        <v>-6219</v>
      </c>
      <c r="AL94" s="103"/>
      <c r="AM94" s="155" t="n">
        <f aca="false">SUM(AM81:AM92)</f>
        <v>19489</v>
      </c>
      <c r="AN94" s="155" t="n">
        <f aca="false">SUM(AN81:AN92)</f>
        <v>12992</v>
      </c>
      <c r="AO94" s="103"/>
      <c r="AP94" s="155" t="n">
        <f aca="false">SUM(AP81:AP92)</f>
        <v>67539</v>
      </c>
      <c r="AQ94" s="155" t="n">
        <f aca="false">SUM(AQ81:AQ92)</f>
        <v>17842</v>
      </c>
      <c r="AR94" s="103"/>
      <c r="AS94" s="103"/>
      <c r="AT94" s="103"/>
      <c r="AU94" s="103"/>
    </row>
    <row r="95" customFormat="false" ht="6" hidden="false" customHeight="true" outlineLevel="0" collapsed="false">
      <c r="A95" s="115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0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</row>
    <row r="96" customFormat="false" ht="12.75" hidden="false" customHeight="false" outlineLevel="0" collapsed="false">
      <c r="A96" s="132" t="s">
        <v>526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 t="str">
        <f aca="false">A96</f>
        <v>Other Items Affecting Interco. Cash Balance with Corporate</v>
      </c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</row>
    <row r="97" customFormat="false" ht="12.75" hidden="false" customHeight="false" outlineLevel="0" collapsed="false">
      <c r="A97" s="132" t="s">
        <v>527</v>
      </c>
      <c r="B97" s="103"/>
      <c r="C97" s="103"/>
      <c r="D97" s="130" t="n">
        <f aca="false">D51+D52</f>
        <v>0</v>
      </c>
      <c r="E97" s="130" t="n">
        <f aca="false">E51+E52</f>
        <v>0</v>
      </c>
      <c r="F97" s="130" t="n">
        <f aca="false">F51+F52</f>
        <v>0</v>
      </c>
      <c r="G97" s="130" t="n">
        <f aca="false">G51+G52</f>
        <v>0</v>
      </c>
      <c r="H97" s="130" t="n">
        <f aca="false">H51+H52</f>
        <v>0</v>
      </c>
      <c r="I97" s="130" t="n">
        <f aca="false">I51+I52</f>
        <v>0</v>
      </c>
      <c r="J97" s="130" t="n">
        <f aca="false">J51+J52</f>
        <v>0</v>
      </c>
      <c r="K97" s="130" t="n">
        <f aca="false">K51+K52</f>
        <v>0</v>
      </c>
      <c r="L97" s="130" t="n">
        <f aca="false">L51+L52</f>
        <v>0</v>
      </c>
      <c r="M97" s="130" t="n">
        <f aca="false">M51+M52</f>
        <v>0</v>
      </c>
      <c r="N97" s="130" t="n">
        <f aca="false">N51+N52</f>
        <v>0</v>
      </c>
      <c r="O97" s="130" t="n">
        <f aca="false">O51+O52</f>
        <v>0</v>
      </c>
      <c r="P97" s="130" t="n">
        <f aca="false">SUM(D97:O97)</f>
        <v>0</v>
      </c>
      <c r="Q97" s="131" t="n">
        <f aca="false">SUM(D97:J97)</f>
        <v>0</v>
      </c>
      <c r="R97" s="130" t="n">
        <f aca="false">P97-Q97</f>
        <v>0</v>
      </c>
      <c r="S97" s="103"/>
      <c r="T97" s="130" t="n">
        <f aca="false">T51+T52</f>
        <v>0</v>
      </c>
      <c r="U97" s="130" t="n">
        <f aca="false">U51+U52</f>
        <v>0</v>
      </c>
      <c r="V97" s="130" t="n">
        <f aca="false">V51+V52</f>
        <v>0</v>
      </c>
      <c r="W97" s="103"/>
      <c r="X97" s="103"/>
      <c r="Y97" s="103"/>
      <c r="Z97" s="103"/>
      <c r="AA97" s="103" t="str">
        <f aca="false">A97</f>
        <v>      Third Party Debt Increase / (Decrease)</v>
      </c>
      <c r="AB97" s="130" t="n">
        <f aca="false">P97</f>
        <v>0</v>
      </c>
      <c r="AC97" s="131" t="n">
        <f aca="false">SUM(D97:L97)</f>
        <v>0</v>
      </c>
      <c r="AD97" s="130" t="n">
        <f aca="false">AB97-AC97</f>
        <v>0</v>
      </c>
      <c r="AE97" s="103"/>
      <c r="AF97" s="130" t="n">
        <f aca="false">T97</f>
        <v>0</v>
      </c>
      <c r="AG97" s="130" t="n">
        <f aca="false">AG51+AG52</f>
        <v>0</v>
      </c>
      <c r="AH97" s="130" t="n">
        <f aca="false">AF97-AG97</f>
        <v>0</v>
      </c>
      <c r="AI97" s="103"/>
      <c r="AJ97" s="130" t="n">
        <f aca="false">AC97-AG97</f>
        <v>0</v>
      </c>
      <c r="AK97" s="130" t="n">
        <f aca="false">AB97-AF97</f>
        <v>0</v>
      </c>
      <c r="AL97" s="103"/>
      <c r="AM97" s="130" t="n">
        <f aca="false">AM51+AM52</f>
        <v>0</v>
      </c>
      <c r="AN97" s="130" t="n">
        <f aca="false">AB97-AM97</f>
        <v>0</v>
      </c>
      <c r="AO97" s="103"/>
      <c r="AP97" s="130" t="n">
        <f aca="false">AP51+AP52</f>
        <v>0</v>
      </c>
      <c r="AQ97" s="130" t="n">
        <f aca="false">AC97-AP97</f>
        <v>0</v>
      </c>
      <c r="AR97" s="103"/>
      <c r="AS97" s="103"/>
      <c r="AT97" s="103"/>
      <c r="AU97" s="103"/>
    </row>
    <row r="98" customFormat="false" ht="12.75" hidden="false" customHeight="false" outlineLevel="0" collapsed="false">
      <c r="A98" s="132" t="s">
        <v>528</v>
      </c>
      <c r="B98" s="103"/>
      <c r="C98" s="103"/>
      <c r="D98" s="130" t="n">
        <f aca="false">D50</f>
        <v>0</v>
      </c>
      <c r="E98" s="130" t="n">
        <f aca="false">E50</f>
        <v>0</v>
      </c>
      <c r="F98" s="130" t="n">
        <f aca="false">F50</f>
        <v>0</v>
      </c>
      <c r="G98" s="130" t="n">
        <f aca="false">G50</f>
        <v>0</v>
      </c>
      <c r="H98" s="130" t="n">
        <f aca="false">H50</f>
        <v>0</v>
      </c>
      <c r="I98" s="130" t="n">
        <f aca="false">I50</f>
        <v>0</v>
      </c>
      <c r="J98" s="130" t="n">
        <f aca="false">J50</f>
        <v>0</v>
      </c>
      <c r="K98" s="130" t="n">
        <f aca="false">K50</f>
        <v>0</v>
      </c>
      <c r="L98" s="130" t="n">
        <f aca="false">L50</f>
        <v>0</v>
      </c>
      <c r="M98" s="130" t="n">
        <f aca="false">M50</f>
        <v>0</v>
      </c>
      <c r="N98" s="130" t="n">
        <f aca="false">N50</f>
        <v>0</v>
      </c>
      <c r="O98" s="130" t="n">
        <f aca="false">O50</f>
        <v>0</v>
      </c>
      <c r="P98" s="130" t="n">
        <f aca="false">SUM(D98:O98)</f>
        <v>0</v>
      </c>
      <c r="Q98" s="131" t="n">
        <f aca="false">SUM(D98:J98)</f>
        <v>0</v>
      </c>
      <c r="R98" s="130" t="n">
        <f aca="false">P98-Q98</f>
        <v>0</v>
      </c>
      <c r="S98" s="103"/>
      <c r="T98" s="130" t="n">
        <f aca="false">T50</f>
        <v>0</v>
      </c>
      <c r="U98" s="130" t="n">
        <f aca="false">U50</f>
        <v>0</v>
      </c>
      <c r="V98" s="130" t="n">
        <f aca="false">V50</f>
        <v>0</v>
      </c>
      <c r="W98" s="103"/>
      <c r="X98" s="103"/>
      <c r="Y98" s="103"/>
      <c r="Z98" s="103"/>
      <c r="AA98" s="103" t="str">
        <f aca="false">A98</f>
        <v>      Dividends Paid to Corporate</v>
      </c>
      <c r="AB98" s="130" t="n">
        <f aca="false">P98</f>
        <v>0</v>
      </c>
      <c r="AC98" s="131" t="n">
        <f aca="false">SUM(D98:L98)</f>
        <v>0</v>
      </c>
      <c r="AD98" s="130" t="n">
        <f aca="false">AB98-AC98</f>
        <v>0</v>
      </c>
      <c r="AE98" s="103"/>
      <c r="AF98" s="130" t="n">
        <f aca="false">T98</f>
        <v>0</v>
      </c>
      <c r="AG98" s="130" t="n">
        <f aca="false">AG50</f>
        <v>0</v>
      </c>
      <c r="AH98" s="130" t="n">
        <f aca="false">AF98-AG98</f>
        <v>0</v>
      </c>
      <c r="AI98" s="103"/>
      <c r="AJ98" s="130" t="n">
        <f aca="false">AC98-AG98</f>
        <v>0</v>
      </c>
      <c r="AK98" s="130" t="n">
        <f aca="false">AB98-AF98</f>
        <v>0</v>
      </c>
      <c r="AL98" s="103"/>
      <c r="AM98" s="130" t="n">
        <f aca="false">AM50</f>
        <v>0</v>
      </c>
      <c r="AN98" s="130" t="n">
        <f aca="false">AB98-AM98</f>
        <v>0</v>
      </c>
      <c r="AO98" s="103"/>
      <c r="AP98" s="130" t="n">
        <f aca="false">AP50</f>
        <v>0</v>
      </c>
      <c r="AQ98" s="130" t="n">
        <f aca="false">AC98-AP98</f>
        <v>0</v>
      </c>
      <c r="AR98" s="103"/>
      <c r="AS98" s="103"/>
      <c r="AT98" s="103"/>
      <c r="AU98" s="103"/>
    </row>
    <row r="99" customFormat="false" ht="12.75" hidden="false" customHeight="false" outlineLevel="0" collapsed="false">
      <c r="A99" s="132" t="s">
        <v>529</v>
      </c>
      <c r="B99" s="103"/>
      <c r="C99" s="103"/>
      <c r="D99" s="130" t="n">
        <f aca="false">D53</f>
        <v>0</v>
      </c>
      <c r="E99" s="130" t="n">
        <f aca="false">E53</f>
        <v>0</v>
      </c>
      <c r="F99" s="130" t="n">
        <f aca="false">F53</f>
        <v>0</v>
      </c>
      <c r="G99" s="130" t="n">
        <f aca="false">G53</f>
        <v>0</v>
      </c>
      <c r="H99" s="130" t="n">
        <f aca="false">H53</f>
        <v>0</v>
      </c>
      <c r="I99" s="130" t="n">
        <f aca="false">I53</f>
        <v>0</v>
      </c>
      <c r="J99" s="130" t="n">
        <f aca="false">J53</f>
        <v>0</v>
      </c>
      <c r="K99" s="130" t="n">
        <f aca="false">K53</f>
        <v>0</v>
      </c>
      <c r="L99" s="130" t="n">
        <f aca="false">L53</f>
        <v>0</v>
      </c>
      <c r="M99" s="130" t="n">
        <f aca="false">M53</f>
        <v>0</v>
      </c>
      <c r="N99" s="130" t="n">
        <f aca="false">N53</f>
        <v>0</v>
      </c>
      <c r="O99" s="130" t="n">
        <f aca="false">O53</f>
        <v>0</v>
      </c>
      <c r="P99" s="130" t="n">
        <f aca="false">SUM(D99:O99)</f>
        <v>0</v>
      </c>
      <c r="Q99" s="131" t="n">
        <f aca="false">SUM(D99:J99)</f>
        <v>0</v>
      </c>
      <c r="R99" s="130" t="n">
        <f aca="false">P99-Q99</f>
        <v>0</v>
      </c>
      <c r="S99" s="103"/>
      <c r="T99" s="130" t="n">
        <f aca="false">T53</f>
        <v>0</v>
      </c>
      <c r="U99" s="130" t="n">
        <f aca="false">U53</f>
        <v>0</v>
      </c>
      <c r="V99" s="130" t="n">
        <f aca="false">V53</f>
        <v>0</v>
      </c>
      <c r="W99" s="103"/>
      <c r="X99" s="103"/>
      <c r="Y99" s="103"/>
      <c r="Z99" s="103"/>
      <c r="AA99" s="103" t="str">
        <f aca="false">A99</f>
        <v>      Dividends Paid to Outside Parties / Other</v>
      </c>
      <c r="AB99" s="130" t="n">
        <f aca="false">P99</f>
        <v>0</v>
      </c>
      <c r="AC99" s="131" t="n">
        <f aca="false">SUM(D99:L99)</f>
        <v>0</v>
      </c>
      <c r="AD99" s="130" t="n">
        <f aca="false">AB99-AC99</f>
        <v>0</v>
      </c>
      <c r="AE99" s="103"/>
      <c r="AF99" s="130" t="n">
        <f aca="false">T99</f>
        <v>0</v>
      </c>
      <c r="AG99" s="130" t="n">
        <f aca="false">AG53</f>
        <v>0</v>
      </c>
      <c r="AH99" s="130" t="n">
        <f aca="false">AF99-AG99</f>
        <v>0</v>
      </c>
      <c r="AI99" s="103"/>
      <c r="AJ99" s="130" t="n">
        <f aca="false">AC99-AG99</f>
        <v>0</v>
      </c>
      <c r="AK99" s="130" t="n">
        <f aca="false">AB99-AF99</f>
        <v>0</v>
      </c>
      <c r="AL99" s="103"/>
      <c r="AM99" s="130" t="n">
        <f aca="false">AM53</f>
        <v>0</v>
      </c>
      <c r="AN99" s="130" t="n">
        <f aca="false">AB99-AM99</f>
        <v>0</v>
      </c>
      <c r="AO99" s="103"/>
      <c r="AP99" s="130" t="n">
        <f aca="false">AP53</f>
        <v>0</v>
      </c>
      <c r="AQ99" s="130" t="n">
        <f aca="false">AC99-AP99</f>
        <v>0</v>
      </c>
      <c r="AR99" s="103"/>
      <c r="AS99" s="103"/>
      <c r="AT99" s="103"/>
      <c r="AU99" s="103"/>
    </row>
    <row r="100" customFormat="false" ht="12.75" hidden="false" customHeight="false" outlineLevel="0" collapsed="false">
      <c r="A100" s="132" t="s">
        <v>530</v>
      </c>
      <c r="B100" s="103"/>
      <c r="C100" s="103"/>
      <c r="D100" s="140" t="n">
        <v>0</v>
      </c>
      <c r="E100" s="140" t="n">
        <v>0</v>
      </c>
      <c r="F100" s="140" t="n">
        <v>0</v>
      </c>
      <c r="G100" s="140" t="n">
        <v>0</v>
      </c>
      <c r="H100" s="140" t="n">
        <v>0</v>
      </c>
      <c r="I100" s="140" t="n">
        <v>0</v>
      </c>
      <c r="J100" s="140" t="n">
        <v>0</v>
      </c>
      <c r="K100" s="140" t="n">
        <v>0</v>
      </c>
      <c r="L100" s="140" t="n">
        <v>0</v>
      </c>
      <c r="M100" s="140" t="n">
        <v>0</v>
      </c>
      <c r="N100" s="140" t="n">
        <v>0</v>
      </c>
      <c r="O100" s="140" t="n">
        <v>0</v>
      </c>
      <c r="P100" s="143" t="n">
        <f aca="false">SUM(D100:O100)</f>
        <v>0</v>
      </c>
      <c r="Q100" s="140" t="n">
        <f aca="false">SUM(D100:J100)</f>
        <v>0</v>
      </c>
      <c r="R100" s="143" t="n">
        <f aca="false">P100-Q100</f>
        <v>0</v>
      </c>
      <c r="S100" s="103"/>
      <c r="T100" s="140" t="n">
        <v>0</v>
      </c>
      <c r="U100" s="140" t="n">
        <v>0</v>
      </c>
      <c r="V100" s="140" t="n">
        <v>0</v>
      </c>
      <c r="W100" s="103"/>
      <c r="X100" s="103"/>
      <c r="Y100" s="103"/>
      <c r="Z100" s="103"/>
      <c r="AA100" s="103" t="str">
        <f aca="false">A100</f>
        <v>      Restricted / Retained Cash</v>
      </c>
      <c r="AB100" s="143" t="n">
        <f aca="false">P100</f>
        <v>0</v>
      </c>
      <c r="AC100" s="140" t="n">
        <f aca="false">SUM(D100:L100)</f>
        <v>0</v>
      </c>
      <c r="AD100" s="143" t="n">
        <f aca="false">AB100-AC100</f>
        <v>0</v>
      </c>
      <c r="AE100" s="103"/>
      <c r="AF100" s="143" t="n">
        <f aca="false">T100</f>
        <v>0</v>
      </c>
      <c r="AG100" s="140" t="n">
        <v>0</v>
      </c>
      <c r="AH100" s="143" t="n">
        <f aca="false">AF100-AG100</f>
        <v>0</v>
      </c>
      <c r="AI100" s="103"/>
      <c r="AJ100" s="143" t="n">
        <f aca="false">AC100-AG100</f>
        <v>0</v>
      </c>
      <c r="AK100" s="143" t="n">
        <f aca="false">AB100-AF100</f>
        <v>0</v>
      </c>
      <c r="AL100" s="103"/>
      <c r="AM100" s="147" t="n">
        <v>0</v>
      </c>
      <c r="AN100" s="143" t="n">
        <f aca="false">AB100-AM100</f>
        <v>0</v>
      </c>
      <c r="AO100" s="103"/>
      <c r="AP100" s="147" t="n">
        <v>0</v>
      </c>
      <c r="AQ100" s="143" t="n">
        <f aca="false">AC100-AP100</f>
        <v>0</v>
      </c>
      <c r="AR100" s="103"/>
      <c r="AS100" s="103"/>
      <c r="AT100" s="103"/>
      <c r="AU100" s="103"/>
    </row>
    <row r="101" customFormat="false" ht="6" hidden="false" customHeight="true" outlineLevel="0" collapsed="false">
      <c r="A101" s="115"/>
      <c r="B101" s="103"/>
      <c r="C101" s="103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03"/>
      <c r="T101" s="130"/>
      <c r="U101" s="130"/>
      <c r="V101" s="130"/>
      <c r="W101" s="103"/>
      <c r="X101" s="103"/>
      <c r="Y101" s="103"/>
      <c r="Z101" s="103"/>
      <c r="AA101" s="100"/>
      <c r="AB101" s="130"/>
      <c r="AC101" s="130"/>
      <c r="AD101" s="130"/>
      <c r="AE101" s="103"/>
      <c r="AF101" s="130"/>
      <c r="AG101" s="130"/>
      <c r="AH101" s="130"/>
      <c r="AI101" s="103"/>
      <c r="AJ101" s="130"/>
      <c r="AK101" s="130"/>
      <c r="AL101" s="103"/>
      <c r="AM101" s="130"/>
      <c r="AN101" s="130"/>
      <c r="AO101" s="103"/>
      <c r="AP101" s="130"/>
      <c r="AQ101" s="130"/>
      <c r="AR101" s="103"/>
      <c r="AS101" s="103"/>
      <c r="AT101" s="103"/>
      <c r="AU101" s="103"/>
    </row>
    <row r="102" customFormat="false" ht="12.75" hidden="false" customHeight="false" outlineLevel="0" collapsed="false">
      <c r="A102" s="129" t="s">
        <v>531</v>
      </c>
      <c r="B102" s="103"/>
      <c r="C102" s="103"/>
      <c r="D102" s="155" t="n">
        <f aca="false">SUM(D94:D100)</f>
        <v>31364</v>
      </c>
      <c r="E102" s="155" t="n">
        <f aca="false">SUM(E94:E100)</f>
        <v>-29096</v>
      </c>
      <c r="F102" s="155" t="n">
        <f aca="false">SUM(F94:F100)</f>
        <v>8294</v>
      </c>
      <c r="G102" s="155" t="n">
        <f aca="false">SUM(G94:G100)</f>
        <v>47457</v>
      </c>
      <c r="H102" s="155" t="n">
        <f aca="false">SUM(H94:H100)</f>
        <v>13345</v>
      </c>
      <c r="I102" s="155" t="n">
        <f aca="false">SUM(I94:I100)</f>
        <v>-3733</v>
      </c>
      <c r="J102" s="155" t="n">
        <f aca="false">SUM(J94:J100)</f>
        <v>11701</v>
      </c>
      <c r="K102" s="155" t="n">
        <f aca="false">SUM(K94:K100)</f>
        <v>11449</v>
      </c>
      <c r="L102" s="155" t="n">
        <f aca="false">SUM(L94:L100)</f>
        <v>-5400</v>
      </c>
      <c r="M102" s="155" t="n">
        <f aca="false">SUM(M94:M100)</f>
        <v>-16600</v>
      </c>
      <c r="N102" s="155" t="n">
        <f aca="false">SUM(N94:N100)</f>
        <v>-22000</v>
      </c>
      <c r="O102" s="155" t="n">
        <f aca="false">SUM(O94:O100)</f>
        <v>-14300</v>
      </c>
      <c r="P102" s="155" t="n">
        <f aca="false">SUM(P94:P100)</f>
        <v>32481</v>
      </c>
      <c r="Q102" s="155" t="n">
        <f aca="false">SUM(Q94:Q100)</f>
        <v>79332</v>
      </c>
      <c r="R102" s="155" t="n">
        <f aca="false">SUM(R94:R100)</f>
        <v>-46851</v>
      </c>
      <c r="S102" s="103"/>
      <c r="T102" s="155" t="n">
        <f aca="false">SUM(T94:T100)</f>
        <v>38700</v>
      </c>
      <c r="U102" s="155" t="n">
        <f aca="false">SUM(U94:U100)</f>
        <v>46900</v>
      </c>
      <c r="V102" s="155" t="n">
        <f aca="false">SUM(V94:V100)</f>
        <v>-8200</v>
      </c>
      <c r="W102" s="103"/>
      <c r="X102" s="103"/>
      <c r="Y102" s="103"/>
      <c r="Z102" s="103"/>
      <c r="AA102" s="100" t="str">
        <f aca="false">A102</f>
        <v>Increase / (Decrease) in Cash Balance with Corporate </v>
      </c>
      <c r="AB102" s="155" t="n">
        <f aca="false">SUM(AB94:AB100)</f>
        <v>32481</v>
      </c>
      <c r="AC102" s="155" t="n">
        <f aca="false">SUM(AC94:AC100)</f>
        <v>85381</v>
      </c>
      <c r="AD102" s="155" t="n">
        <f aca="false">SUM(AD94:AD100)</f>
        <v>-52900</v>
      </c>
      <c r="AE102" s="103"/>
      <c r="AF102" s="155" t="n">
        <f aca="false">SUM(AF94:AF100)</f>
        <v>38700</v>
      </c>
      <c r="AG102" s="155" t="n">
        <f aca="false">SUM(AG94:AG100)</f>
        <v>46900</v>
      </c>
      <c r="AH102" s="155" t="n">
        <f aca="false">SUM(AH94:AH100)</f>
        <v>-8200</v>
      </c>
      <c r="AI102" s="103"/>
      <c r="AJ102" s="155" t="n">
        <f aca="false">SUM(AJ94:AJ100)</f>
        <v>38481</v>
      </c>
      <c r="AK102" s="155" t="n">
        <f aca="false">SUM(AK94:AK100)</f>
        <v>-6219</v>
      </c>
      <c r="AL102" s="103"/>
      <c r="AM102" s="155" t="n">
        <f aca="false">SUM(AM94:AM100)</f>
        <v>19489</v>
      </c>
      <c r="AN102" s="155" t="n">
        <f aca="false">SUM(AN94:AN100)</f>
        <v>12992</v>
      </c>
      <c r="AO102" s="103"/>
      <c r="AP102" s="155" t="n">
        <f aca="false">SUM(AP94:AP100)</f>
        <v>67539</v>
      </c>
      <c r="AQ102" s="155" t="n">
        <f aca="false">SUM(AQ94:AQ100)</f>
        <v>17842</v>
      </c>
      <c r="AR102" s="103"/>
      <c r="AS102" s="103"/>
      <c r="AT102" s="103"/>
      <c r="AU102" s="103"/>
    </row>
    <row r="103" customFormat="false" ht="6" hidden="false" customHeight="true" outlineLevel="0" collapsed="false">
      <c r="A103" s="115"/>
      <c r="B103" s="103"/>
      <c r="C103" s="103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03"/>
      <c r="T103" s="130"/>
      <c r="U103" s="130"/>
      <c r="V103" s="130"/>
      <c r="W103" s="103"/>
      <c r="X103" s="103"/>
      <c r="Y103" s="103"/>
      <c r="Z103" s="103"/>
      <c r="AA103" s="100"/>
      <c r="AB103" s="130"/>
      <c r="AC103" s="130"/>
      <c r="AD103" s="130"/>
      <c r="AE103" s="103"/>
      <c r="AF103" s="130"/>
      <c r="AG103" s="130"/>
      <c r="AH103" s="130"/>
      <c r="AI103" s="103"/>
      <c r="AJ103" s="130"/>
      <c r="AK103" s="130"/>
      <c r="AL103" s="103"/>
      <c r="AM103" s="130"/>
      <c r="AN103" s="130"/>
      <c r="AO103" s="103"/>
      <c r="AP103" s="130"/>
      <c r="AQ103" s="130"/>
      <c r="AR103" s="103"/>
      <c r="AS103" s="103"/>
      <c r="AT103" s="103"/>
      <c r="AU103" s="103"/>
    </row>
    <row r="104" customFormat="false" ht="12.75" hidden="false" customHeight="false" outlineLevel="0" collapsed="false">
      <c r="A104" s="132" t="s">
        <v>532</v>
      </c>
      <c r="B104" s="103"/>
      <c r="C104" s="103"/>
      <c r="D104" s="143" t="n">
        <f aca="false">D59</f>
        <v>-6</v>
      </c>
      <c r="E104" s="143" t="n">
        <f aca="false">E59</f>
        <v>-6</v>
      </c>
      <c r="F104" s="143" t="n">
        <f aca="false">F59</f>
        <v>-7</v>
      </c>
      <c r="G104" s="143" t="n">
        <f aca="false">G59</f>
        <v>-6</v>
      </c>
      <c r="H104" s="143" t="n">
        <f aca="false">H59</f>
        <v>-7</v>
      </c>
      <c r="I104" s="143" t="n">
        <f aca="false">I59</f>
        <v>-6</v>
      </c>
      <c r="J104" s="143" t="n">
        <f aca="false">J59</f>
        <v>-7</v>
      </c>
      <c r="K104" s="143" t="n">
        <f aca="false">K59</f>
        <v>-6</v>
      </c>
      <c r="L104" s="143" t="n">
        <f aca="false">L59</f>
        <v>-7</v>
      </c>
      <c r="M104" s="143" t="n">
        <f aca="false">M59</f>
        <v>-6</v>
      </c>
      <c r="N104" s="143" t="n">
        <f aca="false">N59</f>
        <v>-7</v>
      </c>
      <c r="O104" s="143" t="n">
        <f aca="false">O59</f>
        <v>-6</v>
      </c>
      <c r="P104" s="143" t="n">
        <f aca="false">SUM(D104:O104)</f>
        <v>-77</v>
      </c>
      <c r="Q104" s="140" t="n">
        <f aca="false">SUM(D104:J104)</f>
        <v>-45</v>
      </c>
      <c r="R104" s="143" t="n">
        <f aca="false">P104-Q104</f>
        <v>-32</v>
      </c>
      <c r="S104" s="103"/>
      <c r="T104" s="143" t="n">
        <f aca="false">T59</f>
        <v>-77</v>
      </c>
      <c r="U104" s="143" t="n">
        <f aca="false">U59</f>
        <v>-58</v>
      </c>
      <c r="V104" s="143" t="n">
        <f aca="false">V59</f>
        <v>-19</v>
      </c>
      <c r="W104" s="103"/>
      <c r="X104" s="103"/>
      <c r="Y104" s="103"/>
      <c r="Z104" s="103"/>
      <c r="AA104" s="103" t="str">
        <f aca="false">A104</f>
        <v>Change in Other Obligations</v>
      </c>
      <c r="AB104" s="143" t="n">
        <f aca="false">P104</f>
        <v>-77</v>
      </c>
      <c r="AC104" s="140" t="n">
        <f aca="false">SUM(D104:L104)</f>
        <v>-58</v>
      </c>
      <c r="AD104" s="143" t="n">
        <f aca="false">AB104-AC104</f>
        <v>-19</v>
      </c>
      <c r="AE104" s="103"/>
      <c r="AF104" s="143" t="n">
        <f aca="false">T104</f>
        <v>-77</v>
      </c>
      <c r="AG104" s="143" t="n">
        <f aca="false">AG59</f>
        <v>-58</v>
      </c>
      <c r="AH104" s="143" t="n">
        <f aca="false">AF104-AG104</f>
        <v>-19</v>
      </c>
      <c r="AI104" s="103"/>
      <c r="AJ104" s="143" t="n">
        <f aca="false">AC104-AG104</f>
        <v>0</v>
      </c>
      <c r="AK104" s="143" t="n">
        <f aca="false">AB104-AF104</f>
        <v>0</v>
      </c>
      <c r="AL104" s="103"/>
      <c r="AM104" s="143" t="n">
        <f aca="false">AM59</f>
        <v>-77</v>
      </c>
      <c r="AN104" s="143" t="n">
        <f aca="false">AB104-AM104</f>
        <v>0</v>
      </c>
      <c r="AO104" s="103"/>
      <c r="AP104" s="143" t="n">
        <f aca="false">AP59</f>
        <v>-58</v>
      </c>
      <c r="AQ104" s="143" t="n">
        <f aca="false">AC104-AP104</f>
        <v>0</v>
      </c>
      <c r="AR104" s="103"/>
      <c r="AS104" s="103"/>
      <c r="AT104" s="103"/>
      <c r="AU104" s="103"/>
    </row>
    <row r="105" customFormat="false" ht="6" hidden="false" customHeight="true" outlineLevel="0" collapsed="false">
      <c r="A105" s="115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0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customFormat="false" ht="12.75" hidden="false" customHeight="false" outlineLevel="0" collapsed="false">
      <c r="A106" s="129" t="s">
        <v>533</v>
      </c>
      <c r="B106" s="103"/>
      <c r="C106" s="103"/>
      <c r="D106" s="148" t="n">
        <f aca="false">SUM(D102:D104)</f>
        <v>31358</v>
      </c>
      <c r="E106" s="148" t="n">
        <f aca="false">SUM(E102:E104)</f>
        <v>-29102</v>
      </c>
      <c r="F106" s="148" t="n">
        <f aca="false">SUM(F102:F104)</f>
        <v>8287</v>
      </c>
      <c r="G106" s="148" t="n">
        <f aca="false">SUM(G102:G104)</f>
        <v>47451</v>
      </c>
      <c r="H106" s="148" t="n">
        <f aca="false">SUM(H102:H104)</f>
        <v>13338</v>
      </c>
      <c r="I106" s="148" t="n">
        <f aca="false">SUM(I102:I104)</f>
        <v>-3739</v>
      </c>
      <c r="J106" s="148" t="n">
        <f aca="false">SUM(J102:J104)</f>
        <v>11694</v>
      </c>
      <c r="K106" s="148" t="n">
        <f aca="false">SUM(K102:K104)</f>
        <v>11443</v>
      </c>
      <c r="L106" s="148" t="n">
        <f aca="false">SUM(L102:L104)</f>
        <v>-5407</v>
      </c>
      <c r="M106" s="148" t="n">
        <f aca="false">SUM(M102:M104)</f>
        <v>-16606</v>
      </c>
      <c r="N106" s="148" t="n">
        <f aca="false">SUM(N102:N104)</f>
        <v>-22007</v>
      </c>
      <c r="O106" s="148" t="n">
        <f aca="false">SUM(O102:O104)</f>
        <v>-14306</v>
      </c>
      <c r="P106" s="148" t="n">
        <f aca="false">SUM(P102:P104)</f>
        <v>32404</v>
      </c>
      <c r="Q106" s="148" t="n">
        <f aca="false">SUM(Q102:Q104)</f>
        <v>79287</v>
      </c>
      <c r="R106" s="148" t="n">
        <f aca="false">SUM(R102:R104)</f>
        <v>-46883</v>
      </c>
      <c r="S106" s="103"/>
      <c r="T106" s="148" t="n">
        <f aca="false">SUM(T102:T104)</f>
        <v>38623</v>
      </c>
      <c r="U106" s="148" t="n">
        <f aca="false">SUM(U102:U104)</f>
        <v>46842</v>
      </c>
      <c r="V106" s="148" t="n">
        <f aca="false">SUM(V102:V104)</f>
        <v>-8219</v>
      </c>
      <c r="W106" s="103"/>
      <c r="X106" s="103"/>
      <c r="Y106" s="103"/>
      <c r="Z106" s="103"/>
      <c r="AA106" s="100" t="str">
        <f aca="false">A106</f>
        <v>Increase / (Decrease) in Total Obligations</v>
      </c>
      <c r="AB106" s="148" t="n">
        <f aca="false">SUM(AB102:AB104)</f>
        <v>32404</v>
      </c>
      <c r="AC106" s="148" t="n">
        <f aca="false">SUM(AC102:AC104)</f>
        <v>85323</v>
      </c>
      <c r="AD106" s="148" t="n">
        <f aca="false">SUM(AD102:AD104)</f>
        <v>-52919</v>
      </c>
      <c r="AE106" s="103"/>
      <c r="AF106" s="148" t="n">
        <f aca="false">SUM(AF102:AF104)</f>
        <v>38623</v>
      </c>
      <c r="AG106" s="148" t="n">
        <f aca="false">SUM(AG102:AG104)</f>
        <v>46842</v>
      </c>
      <c r="AH106" s="148" t="n">
        <f aca="false">SUM(AH102:AH104)</f>
        <v>-8219</v>
      </c>
      <c r="AI106" s="103"/>
      <c r="AJ106" s="148" t="n">
        <f aca="false">SUM(AJ102:AJ104)</f>
        <v>38481</v>
      </c>
      <c r="AK106" s="148" t="n">
        <f aca="false">SUM(AK102:AK104)</f>
        <v>-6219</v>
      </c>
      <c r="AL106" s="103"/>
      <c r="AM106" s="148" t="n">
        <f aca="false">SUM(AM102:AM104)</f>
        <v>19412</v>
      </c>
      <c r="AN106" s="148" t="n">
        <f aca="false">SUM(AN102:AN104)</f>
        <v>12992</v>
      </c>
      <c r="AO106" s="103"/>
      <c r="AP106" s="148" t="n">
        <f aca="false">SUM(AP102:AP104)</f>
        <v>67481</v>
      </c>
      <c r="AQ106" s="148" t="n">
        <f aca="false">SUM(AQ102:AQ104)</f>
        <v>17842</v>
      </c>
      <c r="AR106" s="103"/>
      <c r="AS106" s="103"/>
      <c r="AT106" s="103"/>
      <c r="AU106" s="103"/>
    </row>
    <row r="107" customFormat="false" ht="12.75" hidden="false" customHeight="false" outlineLevel="0" collapsed="false">
      <c r="A107" s="115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0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</row>
    <row r="108" customFormat="false" ht="12.75" hidden="false" customHeight="false" outlineLevel="0" collapsed="false">
      <c r="A108" s="115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0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</row>
    <row r="109" customFormat="false" ht="12.75" hidden="false" customHeight="false" outlineLevel="0" collapsed="false">
      <c r="A109" s="132" t="s">
        <v>368</v>
      </c>
      <c r="B109" s="103"/>
      <c r="C109" s="103"/>
      <c r="D109" s="130" t="n">
        <f aca="false">D61-D106</f>
        <v>0</v>
      </c>
      <c r="E109" s="130" t="n">
        <f aca="false">E61-E106</f>
        <v>0</v>
      </c>
      <c r="F109" s="130" t="n">
        <f aca="false">F61-F106</f>
        <v>0</v>
      </c>
      <c r="G109" s="130" t="n">
        <f aca="false">G61-G106</f>
        <v>0</v>
      </c>
      <c r="H109" s="130" t="n">
        <f aca="false">H61-H106</f>
        <v>0</v>
      </c>
      <c r="I109" s="130" t="n">
        <f aca="false">I61-I106</f>
        <v>0</v>
      </c>
      <c r="J109" s="130" t="n">
        <f aca="false">J61-J106</f>
        <v>0</v>
      </c>
      <c r="K109" s="130" t="n">
        <f aca="false">K61-K106</f>
        <v>0</v>
      </c>
      <c r="L109" s="130" t="n">
        <f aca="false">L61-L106</f>
        <v>0</v>
      </c>
      <c r="M109" s="130" t="n">
        <f aca="false">M61-M106</f>
        <v>0</v>
      </c>
      <c r="N109" s="130" t="n">
        <f aca="false">N61-N106</f>
        <v>0</v>
      </c>
      <c r="O109" s="130" t="n">
        <f aca="false">O61-O106</f>
        <v>0</v>
      </c>
      <c r="P109" s="130" t="n">
        <f aca="false">P61-P106</f>
        <v>0</v>
      </c>
      <c r="Q109" s="130" t="n">
        <f aca="false">Q61-Q106</f>
        <v>0</v>
      </c>
      <c r="R109" s="130" t="n">
        <f aca="false">R61-R106</f>
        <v>0</v>
      </c>
      <c r="S109" s="103"/>
      <c r="T109" s="130" t="n">
        <f aca="false">T61-T106</f>
        <v>0</v>
      </c>
      <c r="U109" s="130" t="n">
        <f aca="false">U61-U106</f>
        <v>0</v>
      </c>
      <c r="V109" s="130" t="n">
        <f aca="false">V61-V106</f>
        <v>0</v>
      </c>
      <c r="W109" s="103"/>
      <c r="X109" s="103"/>
      <c r="Y109" s="103"/>
      <c r="Z109" s="103"/>
      <c r="AA109" s="103" t="str">
        <f aca="false">A109</f>
        <v>      CHECK #</v>
      </c>
      <c r="AB109" s="130" t="n">
        <f aca="false">AB61-AB106</f>
        <v>0</v>
      </c>
      <c r="AC109" s="130" t="n">
        <f aca="false">AC61-AC106</f>
        <v>0</v>
      </c>
      <c r="AD109" s="130" t="n">
        <f aca="false">AD61-AD106</f>
        <v>0</v>
      </c>
      <c r="AE109" s="103"/>
      <c r="AF109" s="130" t="n">
        <f aca="false">AF61-AF106</f>
        <v>0</v>
      </c>
      <c r="AG109" s="130" t="n">
        <f aca="false">AG61-AG106</f>
        <v>0</v>
      </c>
      <c r="AH109" s="130" t="n">
        <f aca="false">AH61-AH106</f>
        <v>0</v>
      </c>
      <c r="AI109" s="103"/>
      <c r="AJ109" s="130" t="n">
        <f aca="false">AJ61-AJ106</f>
        <v>0</v>
      </c>
      <c r="AK109" s="130" t="n">
        <f aca="false">AK61-AK106</f>
        <v>0</v>
      </c>
      <c r="AL109" s="103"/>
      <c r="AM109" s="130" t="n">
        <f aca="false">AM61-AM106</f>
        <v>0</v>
      </c>
      <c r="AN109" s="130" t="n">
        <f aca="false">AN61-AN106</f>
        <v>0</v>
      </c>
      <c r="AO109" s="103"/>
      <c r="AP109" s="130" t="n">
        <f aca="false">AP61-AP106</f>
        <v>0</v>
      </c>
      <c r="AQ109" s="130" t="n">
        <f aca="false">AQ61-AQ106</f>
        <v>0</v>
      </c>
      <c r="AR109" s="103"/>
      <c r="AS109" s="103"/>
      <c r="AT109" s="103"/>
      <c r="AU109" s="103"/>
    </row>
    <row r="110" customFormat="false" ht="12.75" hidden="false" customHeight="false" outlineLevel="0" collapsed="false">
      <c r="A110" s="115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0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</row>
    <row r="111" customFormat="false" ht="12.75" hidden="false" customHeight="false" outlineLevel="0" collapsed="false">
      <c r="A111" s="115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0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</row>
    <row r="112" customFormat="false" ht="12.75" hidden="false" customHeight="false" outlineLevel="0" collapsed="false">
      <c r="A112" s="132" t="s">
        <v>515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 t="str">
        <f aca="false">A112</f>
        <v>Working Capital Changes</v>
      </c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</row>
    <row r="113" customFormat="false" ht="12.75" hidden="false" customHeight="false" outlineLevel="0" collapsed="false">
      <c r="A113" s="132" t="s">
        <v>518</v>
      </c>
      <c r="B113" s="103"/>
      <c r="C113" s="103"/>
      <c r="D113" s="143" t="n">
        <f aca="false">SUM(D84:D86)</f>
        <v>52965</v>
      </c>
      <c r="E113" s="143" t="n">
        <f aca="false">SUM(E84:E86)</f>
        <v>-44067</v>
      </c>
      <c r="F113" s="143" t="n">
        <f aca="false">SUM(F84:F86)</f>
        <v>-6731</v>
      </c>
      <c r="G113" s="143" t="n">
        <f aca="false">SUM(G84:G86)</f>
        <v>12272</v>
      </c>
      <c r="H113" s="143" t="n">
        <f aca="false">SUM(H84:H86)</f>
        <v>218</v>
      </c>
      <c r="I113" s="143" t="n">
        <f aca="false">SUM(I84:I86)</f>
        <v>-17032</v>
      </c>
      <c r="J113" s="143" t="n">
        <f aca="false">SUM(J84:J86)</f>
        <v>5381</v>
      </c>
      <c r="K113" s="143" t="n">
        <f aca="false">SUM(K84:K86)</f>
        <v>8364</v>
      </c>
      <c r="L113" s="143" t="n">
        <f aca="false">SUM(L84:L86)</f>
        <v>-1428</v>
      </c>
      <c r="M113" s="143" t="n">
        <f aca="false">SUM(M84:M86)</f>
        <v>329</v>
      </c>
      <c r="N113" s="143" t="n">
        <f aca="false">SUM(N84:N86)</f>
        <v>-32511</v>
      </c>
      <c r="O113" s="143" t="n">
        <f aca="false">SUM(O84:O86)</f>
        <v>-21766</v>
      </c>
      <c r="P113" s="143" t="n">
        <f aca="false">SUM(P84:P86)</f>
        <v>-44006</v>
      </c>
      <c r="Q113" s="143" t="n">
        <f aca="false">SUM(Q84:Q86)</f>
        <v>3006</v>
      </c>
      <c r="R113" s="143" t="n">
        <f aca="false">SUM(R84:R86)</f>
        <v>-47012</v>
      </c>
      <c r="S113" s="103"/>
      <c r="T113" s="143" t="n">
        <f aca="false">SUM(T84:T86)</f>
        <v>-21109</v>
      </c>
      <c r="U113" s="143" t="n">
        <f aca="false">SUM(U84:U86)</f>
        <v>20466</v>
      </c>
      <c r="V113" s="143" t="n">
        <f aca="false">SUM(V84:V86)</f>
        <v>-41575</v>
      </c>
      <c r="W113" s="103"/>
      <c r="X113" s="103"/>
      <c r="Y113" s="103"/>
      <c r="Z113" s="103"/>
      <c r="AA113" s="103" t="str">
        <f aca="false">A113</f>
        <v>      Others, Net </v>
      </c>
      <c r="AB113" s="143" t="n">
        <f aca="false">SUM(AB84:AB86)</f>
        <v>-44006</v>
      </c>
      <c r="AC113" s="143" t="n">
        <f aca="false">SUM(AC84:AC86)</f>
        <v>9942</v>
      </c>
      <c r="AD113" s="143" t="n">
        <f aca="false">SUM(AD84:AD86)</f>
        <v>-53948</v>
      </c>
      <c r="AE113" s="103"/>
      <c r="AF113" s="143" t="n">
        <f aca="false">SUM(AF84:AF86)</f>
        <v>-21109</v>
      </c>
      <c r="AG113" s="143" t="n">
        <f aca="false">SUM(AG84:AG86)</f>
        <v>20466</v>
      </c>
      <c r="AH113" s="143" t="n">
        <f aca="false">SUM(AH84:AH86)</f>
        <v>-41575</v>
      </c>
      <c r="AI113" s="103"/>
      <c r="AJ113" s="143" t="n">
        <f aca="false">SUM(AJ84:AJ86)</f>
        <v>-10524</v>
      </c>
      <c r="AK113" s="143" t="n">
        <f aca="false">SUM(AK84:AK86)</f>
        <v>-22897</v>
      </c>
      <c r="AL113" s="103"/>
      <c r="AM113" s="143" t="n">
        <f aca="false">SUM(AM84:AM86)</f>
        <v>-35721</v>
      </c>
      <c r="AN113" s="143" t="n">
        <f aca="false">SUM(AN84:AN86)</f>
        <v>-8285</v>
      </c>
      <c r="AO113" s="103"/>
      <c r="AP113" s="143" t="n">
        <f aca="false">SUM(AP84:AP86)</f>
        <v>14102</v>
      </c>
      <c r="AQ113" s="143" t="n">
        <f aca="false">SUM(AQ84:AQ86)</f>
        <v>-4160</v>
      </c>
      <c r="AR113" s="103"/>
      <c r="AS113" s="103"/>
      <c r="AT113" s="103"/>
      <c r="AU113" s="103"/>
    </row>
    <row r="114" customFormat="false" ht="3.95" hidden="false" customHeight="true" outlineLevel="0" collapsed="false">
      <c r="A114" s="115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</row>
    <row r="115" customFormat="false" ht="12.75" hidden="false" customHeight="false" outlineLevel="0" collapsed="false">
      <c r="A115" s="132" t="s">
        <v>534</v>
      </c>
      <c r="B115" s="103"/>
      <c r="C115" s="103"/>
      <c r="D115" s="143" t="n">
        <f aca="false">SUM(D113)</f>
        <v>52965</v>
      </c>
      <c r="E115" s="143" t="n">
        <f aca="false">SUM(E113)</f>
        <v>-44067</v>
      </c>
      <c r="F115" s="143" t="n">
        <f aca="false">SUM(F113)</f>
        <v>-6731</v>
      </c>
      <c r="G115" s="143" t="n">
        <f aca="false">SUM(G113)</f>
        <v>12272</v>
      </c>
      <c r="H115" s="143" t="n">
        <f aca="false">SUM(H113)</f>
        <v>218</v>
      </c>
      <c r="I115" s="143" t="n">
        <f aca="false">SUM(I113)</f>
        <v>-17032</v>
      </c>
      <c r="J115" s="143" t="n">
        <f aca="false">SUM(J113)</f>
        <v>5381</v>
      </c>
      <c r="K115" s="143" t="n">
        <f aca="false">SUM(K113)</f>
        <v>8364</v>
      </c>
      <c r="L115" s="143" t="n">
        <f aca="false">SUM(L113)</f>
        <v>-1428</v>
      </c>
      <c r="M115" s="143" t="n">
        <f aca="false">SUM(M113)</f>
        <v>329</v>
      </c>
      <c r="N115" s="143" t="n">
        <f aca="false">SUM(N113)</f>
        <v>-32511</v>
      </c>
      <c r="O115" s="143" t="n">
        <f aca="false">SUM(O113)</f>
        <v>-21766</v>
      </c>
      <c r="P115" s="143" t="n">
        <f aca="false">SUM(P113)</f>
        <v>-44006</v>
      </c>
      <c r="Q115" s="143" t="n">
        <f aca="false">SUM(Q113)</f>
        <v>3006</v>
      </c>
      <c r="R115" s="143" t="n">
        <f aca="false">SUM(R113)</f>
        <v>-47012</v>
      </c>
      <c r="S115" s="103"/>
      <c r="T115" s="143" t="n">
        <f aca="false">SUM(T113)</f>
        <v>-21109</v>
      </c>
      <c r="U115" s="143" t="n">
        <f aca="false">SUM(U113)</f>
        <v>20466</v>
      </c>
      <c r="V115" s="143" t="n">
        <f aca="false">SUM(V113)</f>
        <v>-41575</v>
      </c>
      <c r="W115" s="103"/>
      <c r="X115" s="103"/>
      <c r="Y115" s="103"/>
      <c r="Z115" s="103"/>
      <c r="AA115" s="103" t="str">
        <f aca="false">A115</f>
        <v>         Total Working Capital Changes</v>
      </c>
      <c r="AB115" s="143" t="n">
        <f aca="false">SUM(AB113)</f>
        <v>-44006</v>
      </c>
      <c r="AC115" s="143" t="n">
        <f aca="false">SUM(AC113)</f>
        <v>9942</v>
      </c>
      <c r="AD115" s="143" t="n">
        <f aca="false">SUM(AD113)</f>
        <v>-53948</v>
      </c>
      <c r="AE115" s="103"/>
      <c r="AF115" s="143" t="n">
        <f aca="false">SUM(AF113)</f>
        <v>-21109</v>
      </c>
      <c r="AG115" s="143" t="n">
        <f aca="false">SUM(AG113)</f>
        <v>20466</v>
      </c>
      <c r="AH115" s="143" t="n">
        <f aca="false">SUM(AH113)</f>
        <v>-41575</v>
      </c>
      <c r="AI115" s="103"/>
      <c r="AJ115" s="143" t="n">
        <f aca="false">SUM(AJ113)</f>
        <v>-10524</v>
      </c>
      <c r="AK115" s="143" t="n">
        <f aca="false">SUM(AK113)</f>
        <v>-22897</v>
      </c>
      <c r="AL115" s="103"/>
      <c r="AM115" s="143" t="n">
        <f aca="false">SUM(AM113)</f>
        <v>-35721</v>
      </c>
      <c r="AN115" s="143" t="n">
        <f aca="false">SUM(AN113)</f>
        <v>-8285</v>
      </c>
      <c r="AO115" s="103"/>
      <c r="AP115" s="143" t="n">
        <f aca="false">SUM(AP113)</f>
        <v>14102</v>
      </c>
      <c r="AQ115" s="143" t="n">
        <f aca="false">SUM(AQ113)</f>
        <v>-4160</v>
      </c>
      <c r="AR115" s="103"/>
      <c r="AS115" s="103"/>
      <c r="AT115" s="103"/>
      <c r="AU115" s="103"/>
    </row>
    <row r="116" customFormat="false" ht="12.75" hidden="false" customHeight="false" outlineLevel="0" collapsed="false">
      <c r="A116" s="115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0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</row>
    <row r="117" customFormat="false" ht="12.75" hidden="false" customHeight="false" outlineLevel="0" collapsed="false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0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</row>
    <row r="118" customFormat="false" ht="8.1" hidden="false" customHeight="true" outlineLevel="0" collapsed="false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0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</row>
    <row r="119" customFormat="false" ht="12.75" hidden="false" customHeight="true" outlineLevel="0" collapsed="false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0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</row>
    <row r="120" customFormat="false" ht="12.75" hidden="false" customHeight="true" outlineLevel="0" collapsed="false">
      <c r="A120" s="104" t="str">
        <f aca="false">A1</f>
        <v>'file:///mnt/12tb/@roms/datasets/enron/EDRM Enron Email Data Set v2 XML/filtered-attachments/xls/NNG3rdCECF.xls'#$BACKUP</v>
      </c>
      <c r="B120" s="103"/>
      <c r="C120" s="103"/>
      <c r="D120" s="103"/>
      <c r="E120" s="103"/>
      <c r="F120" s="103"/>
      <c r="G120" s="103"/>
      <c r="H120" s="103"/>
      <c r="I120" s="105" t="str">
        <f aca="false">I1</f>
        <v>NORTHERN NATURAL GAS GROUP</v>
      </c>
      <c r="J120" s="105"/>
      <c r="K120" s="105"/>
      <c r="L120" s="105"/>
      <c r="M120" s="103"/>
      <c r="N120" s="103"/>
      <c r="O120" s="103"/>
      <c r="P120" s="103"/>
      <c r="Q120" s="103"/>
      <c r="R120" s="103"/>
      <c r="S120" s="103"/>
      <c r="T120" s="103"/>
      <c r="U120" s="103"/>
      <c r="V120" s="102" t="n">
        <f aca="true">NOW()</f>
        <v>45926.9494835044</v>
      </c>
      <c r="W120" s="103"/>
      <c r="X120" s="103"/>
      <c r="Y120" s="103"/>
      <c r="Z120" s="103"/>
      <c r="AA120" s="104" t="str">
        <f aca="false">A1</f>
        <v>'file:///mnt/12tb/@roms/datasets/enron/EDRM Enron Email Data Set v2 XML/filtered-attachments/xls/NNG3rdCECF.xls'#$BACKUP</v>
      </c>
      <c r="AB120" s="103"/>
      <c r="AC120" s="103"/>
      <c r="AD120" s="105" t="str">
        <f aca="false">I1</f>
        <v>NORTHERN NATURAL GAS GROUP</v>
      </c>
      <c r="AE120" s="105"/>
      <c r="AF120" s="105"/>
      <c r="AG120" s="105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2" t="n">
        <f aca="true">NOW()</f>
        <v>45926.9494835045</v>
      </c>
      <c r="AR120" s="103"/>
      <c r="AS120" s="103"/>
      <c r="AT120" s="103"/>
      <c r="AU120" s="103"/>
    </row>
    <row r="121" customFormat="false" ht="12.75" hidden="false" customHeight="true" outlineLevel="0" collapsed="false">
      <c r="A121" s="107" t="s">
        <v>535</v>
      </c>
      <c r="B121" s="103"/>
      <c r="C121" s="103"/>
      <c r="D121" s="103"/>
      <c r="E121" s="103"/>
      <c r="F121" s="103"/>
      <c r="G121" s="103"/>
      <c r="H121" s="103"/>
      <c r="I121" s="108" t="s">
        <v>536</v>
      </c>
      <c r="J121" s="108"/>
      <c r="K121" s="108"/>
      <c r="L121" s="108"/>
      <c r="M121" s="103"/>
      <c r="N121" s="103"/>
      <c r="O121" s="103"/>
      <c r="P121" s="103"/>
      <c r="Q121" s="103"/>
      <c r="R121" s="103"/>
      <c r="S121" s="103"/>
      <c r="T121" s="103"/>
      <c r="U121" s="103"/>
      <c r="V121" s="109" t="n">
        <f aca="true">NOW()</f>
        <v>45926.9494835046</v>
      </c>
      <c r="W121" s="103"/>
      <c r="X121" s="103"/>
      <c r="Y121" s="103"/>
      <c r="Z121" s="103"/>
      <c r="AA121" s="107" t="s">
        <v>537</v>
      </c>
      <c r="AB121" s="103"/>
      <c r="AC121" s="103"/>
      <c r="AD121" s="105" t="str">
        <f aca="false">I121</f>
        <v>FUNDS FLOW STATEMENT</v>
      </c>
      <c r="AE121" s="105"/>
      <c r="AF121" s="105"/>
      <c r="AG121" s="105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9" t="n">
        <f aca="true">NOW()</f>
        <v>45926.9494835046</v>
      </c>
      <c r="AR121" s="103"/>
      <c r="AS121" s="103"/>
      <c r="AT121" s="103"/>
      <c r="AU121" s="103"/>
    </row>
    <row r="122" customFormat="false" ht="12.75" hidden="false" customHeight="true" outlineLevel="0" collapsed="false">
      <c r="A122" s="103"/>
      <c r="B122" s="103"/>
      <c r="C122" s="103"/>
      <c r="D122" s="103"/>
      <c r="E122" s="103"/>
      <c r="F122" s="103"/>
      <c r="G122" s="103"/>
      <c r="H122" s="103"/>
      <c r="I122" s="105" t="str">
        <f aca="false">I3</f>
        <v>2001 ACTUAL / ESTIMATE</v>
      </c>
      <c r="J122" s="105"/>
      <c r="K122" s="105"/>
      <c r="L122" s="105"/>
      <c r="M122" s="103"/>
      <c r="N122" s="103"/>
      <c r="O122" s="103"/>
      <c r="P122" s="103"/>
      <c r="Q122" s="103"/>
      <c r="R122" s="103"/>
      <c r="S122" s="103"/>
      <c r="T122" s="103"/>
      <c r="U122" s="103"/>
      <c r="V122" s="151"/>
      <c r="W122" s="103"/>
      <c r="X122" s="103"/>
      <c r="Y122" s="103"/>
      <c r="Z122" s="103"/>
      <c r="AA122" s="100"/>
      <c r="AB122" s="103"/>
      <c r="AC122" s="103"/>
      <c r="AD122" s="105" t="str">
        <f aca="false">I3</f>
        <v>2001 ACTUAL / ESTIMATE</v>
      </c>
      <c r="AE122" s="105"/>
      <c r="AF122" s="105"/>
      <c r="AG122" s="105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</row>
    <row r="123" customFormat="false" ht="12.75" hidden="false" customHeight="true" outlineLevel="0" collapsed="false">
      <c r="A123" s="103"/>
      <c r="B123" s="103"/>
      <c r="C123" s="103"/>
      <c r="D123" s="103"/>
      <c r="E123" s="103"/>
      <c r="F123" s="103"/>
      <c r="G123" s="103"/>
      <c r="H123" s="103"/>
      <c r="I123" s="105" t="str">
        <f aca="false">I4</f>
        <v>(Thousands of Dollars)</v>
      </c>
      <c r="J123" s="105"/>
      <c r="K123" s="105"/>
      <c r="L123" s="105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0"/>
      <c r="AB123" s="103"/>
      <c r="AC123" s="103"/>
      <c r="AD123" s="105" t="str">
        <f aca="false">I4</f>
        <v>(Thousands of Dollars)</v>
      </c>
      <c r="AE123" s="105"/>
      <c r="AF123" s="105"/>
      <c r="AG123" s="105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</row>
    <row r="124" customFormat="false" ht="12.75" hidden="false" customHeight="true" outlineLevel="0" collapsed="false">
      <c r="A124" s="103"/>
      <c r="B124" s="103"/>
      <c r="C124" s="103"/>
      <c r="D124" s="120" t="n">
        <f aca="false">D5</f>
        <v>0</v>
      </c>
      <c r="E124" s="120" t="n">
        <f aca="false">E5</f>
        <v>0</v>
      </c>
      <c r="F124" s="120" t="n">
        <f aca="false">F5</f>
        <v>0</v>
      </c>
      <c r="G124" s="120" t="n">
        <f aca="false">G5</f>
        <v>0</v>
      </c>
      <c r="H124" s="120" t="n">
        <f aca="false">H5</f>
        <v>0</v>
      </c>
      <c r="I124" s="120" t="n">
        <f aca="false">I5</f>
        <v>0</v>
      </c>
      <c r="J124" s="120" t="n">
        <f aca="false">J5</f>
        <v>0</v>
      </c>
      <c r="K124" s="120" t="str">
        <f aca="false">K5</f>
        <v>PRE</v>
      </c>
      <c r="L124" s="120" t="n">
        <f aca="false">L5</f>
        <v>0</v>
      </c>
      <c r="M124" s="120" t="n">
        <f aca="false">M5</f>
        <v>0</v>
      </c>
      <c r="N124" s="120" t="n">
        <f aca="false">N5</f>
        <v>0</v>
      </c>
      <c r="O124" s="120" t="n">
        <f aca="false">O5</f>
        <v>0</v>
      </c>
      <c r="P124" s="103"/>
      <c r="Q124" s="103"/>
      <c r="R124" s="103"/>
      <c r="S124" s="103"/>
      <c r="T124" s="120" t="n">
        <f aca="false">T5</f>
        <v>0</v>
      </c>
      <c r="U124" s="103"/>
      <c r="V124" s="120" t="n">
        <f aca="false">V5</f>
        <v>0</v>
      </c>
      <c r="W124" s="103"/>
      <c r="X124" s="103"/>
      <c r="Y124" s="103"/>
      <c r="Z124" s="103"/>
      <c r="AA124" s="100"/>
      <c r="AB124" s="103"/>
      <c r="AC124" s="103"/>
      <c r="AD124" s="103"/>
      <c r="AE124" s="103"/>
      <c r="AF124" s="120" t="n">
        <f aca="false">AF5</f>
        <v>0</v>
      </c>
      <c r="AG124" s="103"/>
      <c r="AH124" s="120" t="n">
        <f aca="false">AH5</f>
        <v>0</v>
      </c>
      <c r="AI124" s="103"/>
      <c r="AJ124" s="103"/>
      <c r="AK124" s="120" t="n">
        <f aca="false">AK5</f>
        <v>0</v>
      </c>
      <c r="AL124" s="103"/>
      <c r="AM124" s="103"/>
      <c r="AN124" s="103"/>
      <c r="AO124" s="103"/>
      <c r="AP124" s="105"/>
      <c r="AQ124" s="153"/>
      <c r="AR124" s="103"/>
      <c r="AS124" s="103"/>
      <c r="AT124" s="103"/>
      <c r="AU124" s="103"/>
    </row>
    <row r="125" customFormat="false" ht="12.75" hidden="false" customHeight="true" outlineLevel="0" collapsed="false">
      <c r="A125" s="103"/>
      <c r="B125" s="103"/>
      <c r="C125" s="103"/>
      <c r="D125" s="120" t="str">
        <f aca="false">D6</f>
        <v>ACT.</v>
      </c>
      <c r="E125" s="120" t="str">
        <f aca="false">E6</f>
        <v>ACT.</v>
      </c>
      <c r="F125" s="120" t="str">
        <f aca="false">F6</f>
        <v>ACT.</v>
      </c>
      <c r="G125" s="120" t="str">
        <f aca="false">G6</f>
        <v>ACT.</v>
      </c>
      <c r="H125" s="120" t="str">
        <f aca="false">H6</f>
        <v>ACT.</v>
      </c>
      <c r="I125" s="120" t="str">
        <f aca="false">I6</f>
        <v>ACT.</v>
      </c>
      <c r="J125" s="120" t="str">
        <f aca="false">J6</f>
        <v>ACT.</v>
      </c>
      <c r="K125" s="120" t="str">
        <f aca="false">K6</f>
        <v>ACT.</v>
      </c>
      <c r="L125" s="120" t="str">
        <f aca="false">L6</f>
        <v>3rd CE</v>
      </c>
      <c r="M125" s="120" t="str">
        <f aca="false">M6</f>
        <v>3rd CE</v>
      </c>
      <c r="N125" s="120" t="str">
        <f aca="false">N6</f>
        <v>3rd CE</v>
      </c>
      <c r="O125" s="120" t="str">
        <f aca="false">O6</f>
        <v>3rd CE</v>
      </c>
      <c r="P125" s="120" t="str">
        <f aca="false">P6</f>
        <v>TOTAL</v>
      </c>
      <c r="Q125" s="120" t="str">
        <f aca="false">Q6</f>
        <v>JULY</v>
      </c>
      <c r="R125" s="120" t="str">
        <f aca="false">R6</f>
        <v>ESTIMATED</v>
      </c>
      <c r="S125" s="103"/>
      <c r="T125" s="120" t="str">
        <f aca="false">T6</f>
        <v>PLAN</v>
      </c>
      <c r="U125" s="120" t="str">
        <f aca="false">U6</f>
        <v>SEPT.</v>
      </c>
      <c r="V125" s="120" t="str">
        <f aca="false">V6</f>
        <v>PLAN</v>
      </c>
      <c r="W125" s="103"/>
      <c r="X125" s="103"/>
      <c r="Y125" s="103"/>
      <c r="Z125" s="103"/>
      <c r="AA125" s="100"/>
      <c r="AB125" s="120" t="str">
        <f aca="false">AB6</f>
        <v>TOTAL</v>
      </c>
      <c r="AC125" s="120" t="str">
        <f aca="false">AC6</f>
        <v>SEPT.</v>
      </c>
      <c r="AD125" s="120" t="str">
        <f aca="false">AD6</f>
        <v>ESTIMATED</v>
      </c>
      <c r="AE125" s="103"/>
      <c r="AF125" s="120" t="str">
        <f aca="false">AF6</f>
        <v>PLAN</v>
      </c>
      <c r="AG125" s="120" t="str">
        <f aca="false">AG6</f>
        <v>SEPT.</v>
      </c>
      <c r="AH125" s="120" t="str">
        <f aca="false">AH6</f>
        <v>PLAN</v>
      </c>
      <c r="AI125" s="103"/>
      <c r="AJ125" s="156" t="str">
        <f aca="false">AJ6</f>
        <v>ACT./EST. vs. PLAN</v>
      </c>
      <c r="AK125" s="156"/>
      <c r="AL125" s="120"/>
      <c r="AM125" s="156" t="str">
        <f aca="false">AM6</f>
        <v>2nd C.E.</v>
      </c>
      <c r="AN125" s="156"/>
      <c r="AO125" s="103"/>
      <c r="AP125" s="156" t="str">
        <f aca="false">AP6</f>
        <v>Sept. YTD</v>
      </c>
      <c r="AQ125" s="156"/>
      <c r="AR125" s="103"/>
      <c r="AS125" s="103"/>
      <c r="AT125" s="103"/>
      <c r="AU125" s="103"/>
    </row>
    <row r="126" customFormat="false" ht="12.75" hidden="false" customHeight="true" outlineLevel="0" collapsed="false">
      <c r="A126" s="103"/>
      <c r="B126" s="103"/>
      <c r="C126" s="103"/>
      <c r="D126" s="126" t="str">
        <f aca="false">D7</f>
        <v>JAN</v>
      </c>
      <c r="E126" s="126" t="str">
        <f aca="false">E7</f>
        <v>FEB</v>
      </c>
      <c r="F126" s="126" t="str">
        <f aca="false">F7</f>
        <v>MAR</v>
      </c>
      <c r="G126" s="126" t="str">
        <f aca="false">G7</f>
        <v>APR</v>
      </c>
      <c r="H126" s="126" t="str">
        <f aca="false">H7</f>
        <v>MAY</v>
      </c>
      <c r="I126" s="126" t="str">
        <f aca="false">I7</f>
        <v>JUN</v>
      </c>
      <c r="J126" s="126" t="str">
        <f aca="false">J7</f>
        <v>JUL</v>
      </c>
      <c r="K126" s="126" t="str">
        <f aca="false">K7</f>
        <v>AUG</v>
      </c>
      <c r="L126" s="126" t="str">
        <f aca="false">L7</f>
        <v>SEP</v>
      </c>
      <c r="M126" s="126" t="str">
        <f aca="false">M7</f>
        <v>OCT</v>
      </c>
      <c r="N126" s="126" t="str">
        <f aca="false">N7</f>
        <v>NOV</v>
      </c>
      <c r="O126" s="126" t="str">
        <f aca="false">O7</f>
        <v>DEC</v>
      </c>
      <c r="P126" s="126" t="n">
        <f aca="false">P7</f>
        <v>2001</v>
      </c>
      <c r="Q126" s="126" t="str">
        <f aca="false">Q7</f>
        <v>Y-T-D</v>
      </c>
      <c r="R126" s="126" t="str">
        <f aca="false">R7</f>
        <v>R.M.</v>
      </c>
      <c r="S126" s="103"/>
      <c r="T126" s="126" t="n">
        <f aca="false">T7</f>
        <v>2001</v>
      </c>
      <c r="U126" s="126" t="str">
        <f aca="false">U7</f>
        <v>Y-T-D</v>
      </c>
      <c r="V126" s="126" t="str">
        <f aca="false">V7</f>
        <v>R.M.</v>
      </c>
      <c r="W126" s="103"/>
      <c r="X126" s="103"/>
      <c r="Y126" s="103"/>
      <c r="Z126" s="103"/>
      <c r="AA126" s="100"/>
      <c r="AB126" s="126" t="n">
        <f aca="false">AB7</f>
        <v>2001</v>
      </c>
      <c r="AC126" s="126" t="str">
        <f aca="false">AC7</f>
        <v>Y-T-D</v>
      </c>
      <c r="AD126" s="126" t="str">
        <f aca="false">AD7</f>
        <v>R.M.</v>
      </c>
      <c r="AE126" s="103"/>
      <c r="AF126" s="126" t="n">
        <f aca="false">AF7</f>
        <v>2001</v>
      </c>
      <c r="AG126" s="126" t="str">
        <f aca="false">AG7</f>
        <v>Y-T-D</v>
      </c>
      <c r="AH126" s="126" t="str">
        <f aca="false">AH7</f>
        <v>R.M.</v>
      </c>
      <c r="AI126" s="103"/>
      <c r="AJ126" s="126" t="str">
        <f aca="false">AJ7</f>
        <v>Y-T-D</v>
      </c>
      <c r="AK126" s="126" t="str">
        <f aca="false">AK7</f>
        <v>ANNUAL</v>
      </c>
      <c r="AL126" s="126"/>
      <c r="AM126" s="126" t="str">
        <f aca="false">AM7</f>
        <v>ANNUAL</v>
      </c>
      <c r="AN126" s="126" t="str">
        <f aca="false">AN7</f>
        <v>Variance</v>
      </c>
      <c r="AO126" s="103"/>
      <c r="AP126" s="126" t="str">
        <f aca="false">AP7</f>
        <v>2nd C.E.</v>
      </c>
      <c r="AQ126" s="126" t="str">
        <f aca="false">AQ7</f>
        <v>Variance</v>
      </c>
      <c r="AR126" s="103"/>
      <c r="AS126" s="103"/>
      <c r="AT126" s="103"/>
      <c r="AU126" s="103"/>
    </row>
    <row r="127" customFormat="false" ht="12.75" hidden="false" customHeight="true" outlineLevel="0" collapsed="false">
      <c r="A127" s="100" t="str">
        <f aca="false">A8</f>
        <v>CASH FLOW FROM OPERATING ACTIVITIES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0" t="str">
        <f aca="false">A127</f>
        <v>CASH FLOW FROM OPERATING ACTIVITIES</v>
      </c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</row>
    <row r="128" customFormat="false" ht="12.75" hidden="false" customHeight="true" outlineLevel="0" collapsed="false">
      <c r="A128" s="103" t="str">
        <f aca="false">A9</f>
        <v>   Net Income </v>
      </c>
      <c r="B128" s="103"/>
      <c r="C128" s="103"/>
      <c r="D128" s="157" t="n">
        <f aca="false">D9</f>
        <v>19634</v>
      </c>
      <c r="E128" s="157" t="n">
        <f aca="false">E9</f>
        <v>18785</v>
      </c>
      <c r="F128" s="157" t="n">
        <f aca="false">F9</f>
        <v>17695</v>
      </c>
      <c r="G128" s="157" t="n">
        <f aca="false">G9</f>
        <v>3079</v>
      </c>
      <c r="H128" s="157" t="n">
        <f aca="false">H9</f>
        <v>992</v>
      </c>
      <c r="I128" s="157" t="n">
        <f aca="false">I9</f>
        <v>2966</v>
      </c>
      <c r="J128" s="157" t="n">
        <f aca="false">J9</f>
        <v>1548</v>
      </c>
      <c r="K128" s="157" t="n">
        <f aca="false">K9</f>
        <v>2474</v>
      </c>
      <c r="L128" s="157" t="n">
        <f aca="false">L9</f>
        <v>646</v>
      </c>
      <c r="M128" s="157" t="n">
        <f aca="false">M9</f>
        <v>-1185</v>
      </c>
      <c r="N128" s="157" t="n">
        <f aca="false">N9</f>
        <v>16351</v>
      </c>
      <c r="O128" s="158" t="n">
        <f aca="false">O9</f>
        <v>16756</v>
      </c>
      <c r="P128" s="157" t="n">
        <f aca="false">P9</f>
        <v>99741</v>
      </c>
      <c r="Q128" s="157" t="n">
        <f aca="false">Q9</f>
        <v>64699</v>
      </c>
      <c r="R128" s="157" t="n">
        <f aca="false">R9</f>
        <v>35042</v>
      </c>
      <c r="S128" s="103"/>
      <c r="T128" s="157" t="n">
        <f aca="false">T9</f>
        <v>101324</v>
      </c>
      <c r="U128" s="157" t="n">
        <f aca="false">U9</f>
        <v>64319</v>
      </c>
      <c r="V128" s="157" t="n">
        <f aca="false">V9</f>
        <v>37005</v>
      </c>
      <c r="W128" s="103"/>
      <c r="X128" s="103"/>
      <c r="Y128" s="103"/>
      <c r="Z128" s="103"/>
      <c r="AA128" s="103" t="str">
        <f aca="false">A128</f>
        <v>   Net Income </v>
      </c>
      <c r="AB128" s="157" t="n">
        <f aca="false">P128</f>
        <v>99741</v>
      </c>
      <c r="AC128" s="157" t="n">
        <f aca="false">AC9</f>
        <v>67819</v>
      </c>
      <c r="AD128" s="130" t="n">
        <f aca="false">AB128-AC128</f>
        <v>31922</v>
      </c>
      <c r="AE128" s="103"/>
      <c r="AF128" s="130" t="n">
        <f aca="false">T128</f>
        <v>101324</v>
      </c>
      <c r="AG128" s="157" t="n">
        <f aca="false">AG9</f>
        <v>64319</v>
      </c>
      <c r="AH128" s="130" t="n">
        <f aca="false">AF128-AG128</f>
        <v>37005</v>
      </c>
      <c r="AI128" s="103"/>
      <c r="AJ128" s="130" t="n">
        <f aca="false">AC128-AG128</f>
        <v>3500</v>
      </c>
      <c r="AK128" s="130" t="n">
        <f aca="false">AB128-AF128</f>
        <v>-1583</v>
      </c>
      <c r="AL128" s="103"/>
      <c r="AM128" s="157" t="n">
        <f aca="false">AM9</f>
        <v>104819</v>
      </c>
      <c r="AN128" s="130" t="n">
        <f aca="false">AB128-AM128</f>
        <v>-5078</v>
      </c>
      <c r="AO128" s="103"/>
      <c r="AP128" s="157" t="n">
        <f aca="false">AP9</f>
        <v>66848</v>
      </c>
      <c r="AQ128" s="130" t="n">
        <f aca="false">AC128-AP128</f>
        <v>971</v>
      </c>
      <c r="AR128" s="103"/>
      <c r="AS128" s="103"/>
      <c r="AT128" s="103"/>
      <c r="AU128" s="103"/>
    </row>
    <row r="129" customFormat="false" ht="12.75" hidden="false" customHeight="true" outlineLevel="0" collapsed="false">
      <c r="A129" s="132" t="s">
        <v>538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 t="str">
        <f aca="false">A129</f>
        <v>   Items not affecting Cash:</v>
      </c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</row>
    <row r="130" customFormat="false" ht="12.75" hidden="false" customHeight="true" outlineLevel="0" collapsed="false">
      <c r="A130" s="103" t="str">
        <f aca="false">A11</f>
        <v>      Depreciation and Amortization</v>
      </c>
      <c r="B130" s="103"/>
      <c r="C130" s="103"/>
      <c r="D130" s="157" t="n">
        <f aca="false">D11</f>
        <v>3841</v>
      </c>
      <c r="E130" s="157" t="n">
        <f aca="false">E11</f>
        <v>3853</v>
      </c>
      <c r="F130" s="157" t="n">
        <f aca="false">F11</f>
        <v>3900</v>
      </c>
      <c r="G130" s="157" t="n">
        <f aca="false">G11</f>
        <v>3811</v>
      </c>
      <c r="H130" s="157" t="n">
        <f aca="false">H11</f>
        <v>3755</v>
      </c>
      <c r="I130" s="157" t="n">
        <f aca="false">I11</f>
        <v>3999</v>
      </c>
      <c r="J130" s="157" t="n">
        <f aca="false">J11</f>
        <v>3851</v>
      </c>
      <c r="K130" s="157" t="n">
        <f aca="false">K11</f>
        <v>3855</v>
      </c>
      <c r="L130" s="157" t="n">
        <f aca="false">L11</f>
        <v>3900</v>
      </c>
      <c r="M130" s="157" t="n">
        <f aca="false">M11</f>
        <v>5200</v>
      </c>
      <c r="N130" s="157" t="n">
        <f aca="false">N11</f>
        <v>3950</v>
      </c>
      <c r="O130" s="157" t="n">
        <f aca="false">O11</f>
        <v>4000</v>
      </c>
      <c r="P130" s="157" t="n">
        <f aca="false">P11</f>
        <v>47915</v>
      </c>
      <c r="Q130" s="157" t="n">
        <f aca="false">Q11</f>
        <v>27010</v>
      </c>
      <c r="R130" s="157" t="n">
        <f aca="false">R11</f>
        <v>20905</v>
      </c>
      <c r="S130" s="103"/>
      <c r="T130" s="157" t="n">
        <f aca="false">T11</f>
        <v>49600</v>
      </c>
      <c r="U130" s="157" t="n">
        <f aca="false">U11</f>
        <v>37947</v>
      </c>
      <c r="V130" s="157" t="n">
        <f aca="false">V11</f>
        <v>11653</v>
      </c>
      <c r="W130" s="103"/>
      <c r="X130" s="103"/>
      <c r="Y130" s="103"/>
      <c r="Z130" s="103"/>
      <c r="AA130" s="103" t="str">
        <f aca="false">A130</f>
        <v>      Depreciation and Amortization</v>
      </c>
      <c r="AB130" s="157" t="n">
        <f aca="false">P130</f>
        <v>47915</v>
      </c>
      <c r="AC130" s="157" t="n">
        <f aca="false">AC11</f>
        <v>34765</v>
      </c>
      <c r="AD130" s="130" t="n">
        <f aca="false">AB130-AC130</f>
        <v>13150</v>
      </c>
      <c r="AE130" s="103"/>
      <c r="AF130" s="130" t="n">
        <f aca="false">T130</f>
        <v>49600</v>
      </c>
      <c r="AG130" s="157" t="n">
        <f aca="false">AG11</f>
        <v>37947</v>
      </c>
      <c r="AH130" s="130" t="n">
        <f aca="false">AF130-AG130</f>
        <v>11653</v>
      </c>
      <c r="AI130" s="103"/>
      <c r="AJ130" s="130" t="n">
        <f aca="false">AC130-AG130</f>
        <v>-3182</v>
      </c>
      <c r="AK130" s="130" t="n">
        <f aca="false">AB130-AF130</f>
        <v>-1685</v>
      </c>
      <c r="AL130" s="103"/>
      <c r="AM130" s="157" t="n">
        <f aca="false">AM11</f>
        <v>48059</v>
      </c>
      <c r="AN130" s="130" t="n">
        <f aca="false">AB130-AM130</f>
        <v>-144</v>
      </c>
      <c r="AO130" s="103"/>
      <c r="AP130" s="157" t="n">
        <f aca="false">AP11</f>
        <v>35159</v>
      </c>
      <c r="AQ130" s="130" t="n">
        <f aca="false">AC130-AP130</f>
        <v>-394</v>
      </c>
      <c r="AR130" s="103"/>
      <c r="AS130" s="103"/>
      <c r="AT130" s="103"/>
      <c r="AU130" s="103"/>
    </row>
    <row r="131" customFormat="false" ht="12.75" hidden="false" customHeight="true" outlineLevel="0" collapsed="false">
      <c r="A131" s="132" t="s">
        <v>539</v>
      </c>
      <c r="B131" s="103"/>
      <c r="C131" s="103"/>
      <c r="D131" s="157" t="n">
        <f aca="false">D13</f>
        <v>3262</v>
      </c>
      <c r="E131" s="157" t="n">
        <f aca="false">E13</f>
        <v>150</v>
      </c>
      <c r="F131" s="157" t="n">
        <f aca="false">F13</f>
        <v>-1147</v>
      </c>
      <c r="G131" s="157" t="n">
        <f aca="false">G13</f>
        <v>23341</v>
      </c>
      <c r="H131" s="157" t="n">
        <f aca="false">H13</f>
        <v>1575</v>
      </c>
      <c r="I131" s="157" t="n">
        <f aca="false">I13</f>
        <v>-2983</v>
      </c>
      <c r="J131" s="157" t="n">
        <f aca="false">J13</f>
        <v>860</v>
      </c>
      <c r="K131" s="157" t="n">
        <f aca="false">K13</f>
        <v>3339</v>
      </c>
      <c r="L131" s="157" t="n">
        <f aca="false">L13</f>
        <v>2207</v>
      </c>
      <c r="M131" s="157" t="n">
        <f aca="false">M13</f>
        <v>-11814</v>
      </c>
      <c r="N131" s="157" t="n">
        <f aca="false">N13</f>
        <v>-1321</v>
      </c>
      <c r="O131" s="157" t="n">
        <f aca="false">O13</f>
        <v>659</v>
      </c>
      <c r="P131" s="157" t="n">
        <f aca="false">P13</f>
        <v>18128</v>
      </c>
      <c r="Q131" s="157" t="n">
        <f aca="false">Q13</f>
        <v>25058</v>
      </c>
      <c r="R131" s="157" t="n">
        <f aca="false">R13</f>
        <v>-6930</v>
      </c>
      <c r="S131" s="103"/>
      <c r="T131" s="157" t="n">
        <f aca="false">T13</f>
        <v>7119</v>
      </c>
      <c r="U131" s="157" t="n">
        <f aca="false">U13</f>
        <v>6786</v>
      </c>
      <c r="V131" s="157" t="n">
        <f aca="false">V13</f>
        <v>333</v>
      </c>
      <c r="W131" s="103"/>
      <c r="X131" s="103"/>
      <c r="Y131" s="103"/>
      <c r="Z131" s="103"/>
      <c r="AA131" s="103" t="str">
        <f aca="false">A131</f>
        <v>      Deferred Income Taxes</v>
      </c>
      <c r="AB131" s="157" t="n">
        <f aca="false">P131</f>
        <v>18128</v>
      </c>
      <c r="AC131" s="157" t="n">
        <f aca="false">AC13</f>
        <v>30604</v>
      </c>
      <c r="AD131" s="130" t="n">
        <f aca="false">AB131-AC131</f>
        <v>-12476</v>
      </c>
      <c r="AE131" s="103"/>
      <c r="AF131" s="130" t="n">
        <f aca="false">T131</f>
        <v>7119</v>
      </c>
      <c r="AG131" s="157" t="n">
        <f aca="false">AG13</f>
        <v>6786</v>
      </c>
      <c r="AH131" s="130" t="n">
        <f aca="false">AF131-AG131</f>
        <v>333</v>
      </c>
      <c r="AI131" s="103"/>
      <c r="AJ131" s="130" t="n">
        <f aca="false">AC131-AG131</f>
        <v>23818</v>
      </c>
      <c r="AK131" s="130" t="n">
        <f aca="false">AB131-AF131</f>
        <v>11009</v>
      </c>
      <c r="AL131" s="103"/>
      <c r="AM131" s="157" t="n">
        <f aca="false">AM13</f>
        <v>16432</v>
      </c>
      <c r="AN131" s="130" t="n">
        <f aca="false">AB131-AM131</f>
        <v>1696</v>
      </c>
      <c r="AO131" s="103"/>
      <c r="AP131" s="157" t="n">
        <f aca="false">AP13</f>
        <v>28314</v>
      </c>
      <c r="AQ131" s="130" t="n">
        <f aca="false">AC131-AP131</f>
        <v>2290</v>
      </c>
      <c r="AR131" s="103"/>
      <c r="AS131" s="103"/>
      <c r="AT131" s="103"/>
      <c r="AU131" s="103"/>
    </row>
    <row r="132" customFormat="false" ht="12.75" hidden="false" customHeight="true" outlineLevel="0" collapsed="false">
      <c r="A132" s="132" t="s">
        <v>540</v>
      </c>
      <c r="B132" s="103"/>
      <c r="C132" s="103"/>
      <c r="D132" s="159" t="n">
        <f aca="false">D32</f>
        <v>267</v>
      </c>
      <c r="E132" s="159" t="n">
        <f aca="false">E32</f>
        <v>-259</v>
      </c>
      <c r="F132" s="159" t="n">
        <f aca="false">F32</f>
        <v>-8</v>
      </c>
      <c r="G132" s="159" t="n">
        <f aca="false">G32</f>
        <v>-0</v>
      </c>
      <c r="H132" s="159" t="n">
        <f aca="false">H32</f>
        <v>-0</v>
      </c>
      <c r="I132" s="159" t="n">
        <f aca="false">I32</f>
        <v>-553</v>
      </c>
      <c r="J132" s="159" t="n">
        <f aca="false">J32</f>
        <v>-0</v>
      </c>
      <c r="K132" s="159" t="n">
        <f aca="false">K32</f>
        <v>-0</v>
      </c>
      <c r="L132" s="159" t="n">
        <f aca="false">L32</f>
        <v>-0</v>
      </c>
      <c r="M132" s="159" t="n">
        <f aca="false">M32</f>
        <v>-0</v>
      </c>
      <c r="N132" s="159" t="n">
        <f aca="false">N32</f>
        <v>-0</v>
      </c>
      <c r="O132" s="159" t="n">
        <f aca="false">O32</f>
        <v>-2300</v>
      </c>
      <c r="P132" s="159" t="n">
        <f aca="false">P32</f>
        <v>-2853</v>
      </c>
      <c r="Q132" s="159" t="n">
        <f aca="false">Q32</f>
        <v>-553</v>
      </c>
      <c r="R132" s="159" t="n">
        <f aca="false">R32</f>
        <v>-2300</v>
      </c>
      <c r="S132" s="160"/>
      <c r="T132" s="159" t="n">
        <f aca="false">T32</f>
        <v>-9900</v>
      </c>
      <c r="U132" s="159" t="n">
        <f aca="false">U32</f>
        <v>-9900</v>
      </c>
      <c r="V132" s="159" t="n">
        <f aca="false">V32</f>
        <v>0</v>
      </c>
      <c r="W132" s="103"/>
      <c r="X132" s="103"/>
      <c r="Y132" s="103"/>
      <c r="Z132" s="103"/>
      <c r="AA132" s="103" t="str">
        <f aca="false">A132</f>
        <v>      Net (Gain) / Loss on Sale of Assets</v>
      </c>
      <c r="AB132" s="159" t="n">
        <f aca="false">P132</f>
        <v>-2853</v>
      </c>
      <c r="AC132" s="159" t="n">
        <f aca="false">AC32</f>
        <v>-553</v>
      </c>
      <c r="AD132" s="143" t="n">
        <f aca="false">AB132-AC132</f>
        <v>-2300</v>
      </c>
      <c r="AE132" s="160"/>
      <c r="AF132" s="143" t="n">
        <f aca="false">T132</f>
        <v>-9900</v>
      </c>
      <c r="AG132" s="159" t="n">
        <f aca="false">AG32</f>
        <v>-9900</v>
      </c>
      <c r="AH132" s="143" t="n">
        <f aca="false">AF132-AG132</f>
        <v>0</v>
      </c>
      <c r="AI132" s="160"/>
      <c r="AJ132" s="143" t="n">
        <f aca="false">AC132-AG132</f>
        <v>9347</v>
      </c>
      <c r="AK132" s="143" t="n">
        <f aca="false">AB132-AF132</f>
        <v>7047</v>
      </c>
      <c r="AL132" s="160"/>
      <c r="AM132" s="159" t="n">
        <f aca="false">AM32</f>
        <v>-10500</v>
      </c>
      <c r="AN132" s="143" t="n">
        <f aca="false">AB132-AM132</f>
        <v>7647</v>
      </c>
      <c r="AO132" s="160"/>
      <c r="AP132" s="159" t="n">
        <f aca="false">AP32</f>
        <v>-600</v>
      </c>
      <c r="AQ132" s="143" t="n">
        <f aca="false">AC132-AP132</f>
        <v>47</v>
      </c>
      <c r="AR132" s="103"/>
      <c r="AS132" s="103"/>
      <c r="AT132" s="103"/>
      <c r="AU132" s="103"/>
    </row>
    <row r="133" customFormat="false" ht="3.95" hidden="false" customHeight="true" outlineLevel="0" collapsed="false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0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</row>
    <row r="134" customFormat="false" ht="12.75" hidden="false" customHeight="true" outlineLevel="0" collapsed="false">
      <c r="A134" s="161" t="str">
        <f aca="false">A81</f>
        <v>            Total Cash Flow From Operations</v>
      </c>
      <c r="B134" s="103"/>
      <c r="C134" s="103"/>
      <c r="D134" s="157" t="n">
        <f aca="false">SUM(D128:D132)</f>
        <v>27004</v>
      </c>
      <c r="E134" s="157" t="n">
        <f aca="false">SUM(E128:E132)</f>
        <v>22529</v>
      </c>
      <c r="F134" s="157" t="n">
        <f aca="false">SUM(F128:F132)</f>
        <v>20440</v>
      </c>
      <c r="G134" s="157" t="n">
        <f aca="false">SUM(G128:G132)</f>
        <v>30231</v>
      </c>
      <c r="H134" s="157" t="n">
        <f aca="false">SUM(H128:H132)</f>
        <v>6322</v>
      </c>
      <c r="I134" s="157" t="n">
        <f aca="false">SUM(I128:I132)</f>
        <v>3429</v>
      </c>
      <c r="J134" s="157" t="n">
        <f aca="false">SUM(J128:J132)</f>
        <v>6259</v>
      </c>
      <c r="K134" s="157" t="n">
        <f aca="false">SUM(K128:K132)</f>
        <v>9668</v>
      </c>
      <c r="L134" s="157" t="n">
        <f aca="false">SUM(L128:L132)</f>
        <v>6753</v>
      </c>
      <c r="M134" s="157" t="n">
        <f aca="false">SUM(M128:M132)</f>
        <v>-7799</v>
      </c>
      <c r="N134" s="157" t="n">
        <f aca="false">SUM(N128:N132)</f>
        <v>18980</v>
      </c>
      <c r="O134" s="157" t="n">
        <f aca="false">SUM(O128:O132)</f>
        <v>19115</v>
      </c>
      <c r="P134" s="157" t="n">
        <f aca="false">SUM(P128:P132)</f>
        <v>162931</v>
      </c>
      <c r="Q134" s="157" t="n">
        <f aca="false">SUM(Q128:Q132)</f>
        <v>116214</v>
      </c>
      <c r="R134" s="157" t="n">
        <f aca="false">SUM(R128:R132)</f>
        <v>46717</v>
      </c>
      <c r="S134" s="103"/>
      <c r="T134" s="157" t="n">
        <f aca="false">SUM(T128:T132)</f>
        <v>148143</v>
      </c>
      <c r="U134" s="157" t="n">
        <f aca="false">SUM(U128:U132)</f>
        <v>99152</v>
      </c>
      <c r="V134" s="157" t="n">
        <f aca="false">SUM(V128:V132)</f>
        <v>48991</v>
      </c>
      <c r="W134" s="103"/>
      <c r="X134" s="103"/>
      <c r="Y134" s="103"/>
      <c r="Z134" s="103"/>
      <c r="AA134" s="103" t="str">
        <f aca="false">A134</f>
        <v>            Total Cash Flow From Operations</v>
      </c>
      <c r="AB134" s="157" t="n">
        <f aca="false">SUM(AB128:AB132)</f>
        <v>162931</v>
      </c>
      <c r="AC134" s="157" t="n">
        <f aca="false">SUM(AC128:AC132)</f>
        <v>132635</v>
      </c>
      <c r="AD134" s="157" t="n">
        <f aca="false">SUM(AD128:AD132)</f>
        <v>30296</v>
      </c>
      <c r="AE134" s="157"/>
      <c r="AF134" s="157" t="n">
        <f aca="false">SUM(AF128:AF132)</f>
        <v>148143</v>
      </c>
      <c r="AG134" s="157" t="n">
        <f aca="false">SUM(AG128:AG132)</f>
        <v>99152</v>
      </c>
      <c r="AH134" s="157" t="n">
        <f aca="false">SUM(AH128:AH132)</f>
        <v>48991</v>
      </c>
      <c r="AI134" s="103"/>
      <c r="AJ134" s="157" t="n">
        <f aca="false">SUM(AJ128:AJ132)</f>
        <v>33483</v>
      </c>
      <c r="AK134" s="157" t="n">
        <f aca="false">SUM(AK128:AK132)</f>
        <v>14788</v>
      </c>
      <c r="AL134" s="103"/>
      <c r="AM134" s="157" t="n">
        <f aca="false">SUM(AM128:AM132)</f>
        <v>158810</v>
      </c>
      <c r="AN134" s="157" t="n">
        <f aca="false">SUM(AN128:AN132)</f>
        <v>4121</v>
      </c>
      <c r="AO134" s="103"/>
      <c r="AP134" s="157" t="n">
        <f aca="false">SUM(AP128:AP132)</f>
        <v>129721</v>
      </c>
      <c r="AQ134" s="157" t="n">
        <f aca="false">SUM(AQ128:AQ132)</f>
        <v>2914</v>
      </c>
      <c r="AR134" s="103"/>
      <c r="AS134" s="103"/>
      <c r="AT134" s="103"/>
      <c r="AU134" s="103"/>
    </row>
    <row r="135" customFormat="false" ht="3.95" hidden="false" customHeight="true" outlineLevel="0" collapsed="false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0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</row>
    <row r="136" customFormat="false" ht="12.75" hidden="false" customHeight="true" outlineLevel="0" collapsed="false">
      <c r="A136" s="103" t="str">
        <f aca="false">A28</f>
        <v>   Deferred Severance / Relocation Charges</v>
      </c>
      <c r="B136" s="103"/>
      <c r="C136" s="103"/>
      <c r="D136" s="157" t="n">
        <f aca="false">D28</f>
        <v>-0</v>
      </c>
      <c r="E136" s="157" t="n">
        <f aca="false">E28</f>
        <v>-0</v>
      </c>
      <c r="F136" s="157" t="n">
        <f aca="false">F28</f>
        <v>-0</v>
      </c>
      <c r="G136" s="157" t="n">
        <f aca="false">G28</f>
        <v>-0</v>
      </c>
      <c r="H136" s="157" t="n">
        <f aca="false">H28</f>
        <v>-0</v>
      </c>
      <c r="I136" s="157" t="n">
        <f aca="false">I28</f>
        <v>-0</v>
      </c>
      <c r="J136" s="157" t="n">
        <f aca="false">J28</f>
        <v>-0</v>
      </c>
      <c r="K136" s="157" t="n">
        <f aca="false">K28</f>
        <v>-0</v>
      </c>
      <c r="L136" s="157" t="n">
        <f aca="false">L28</f>
        <v>-0</v>
      </c>
      <c r="M136" s="157" t="n">
        <f aca="false">M28</f>
        <v>-0</v>
      </c>
      <c r="N136" s="157" t="n">
        <f aca="false">N28</f>
        <v>-0</v>
      </c>
      <c r="O136" s="157" t="n">
        <f aca="false">O28</f>
        <v>-0</v>
      </c>
      <c r="P136" s="157" t="n">
        <f aca="false">P28</f>
        <v>0</v>
      </c>
      <c r="Q136" s="157" t="n">
        <f aca="false">Q28</f>
        <v>0</v>
      </c>
      <c r="R136" s="157" t="n">
        <f aca="false">R28</f>
        <v>0</v>
      </c>
      <c r="S136" s="103"/>
      <c r="T136" s="157" t="n">
        <f aca="false">T28</f>
        <v>0</v>
      </c>
      <c r="U136" s="157" t="n">
        <f aca="false">U28</f>
        <v>0</v>
      </c>
      <c r="V136" s="157" t="n">
        <f aca="false">V28</f>
        <v>0</v>
      </c>
      <c r="W136" s="103"/>
      <c r="X136" s="103"/>
      <c r="Y136" s="103"/>
      <c r="Z136" s="103"/>
      <c r="AA136" s="103" t="str">
        <f aca="false">A136</f>
        <v>   Deferred Severance / Relocation Charges</v>
      </c>
      <c r="AB136" s="157" t="n">
        <f aca="false">P136</f>
        <v>0</v>
      </c>
      <c r="AC136" s="157" t="n">
        <f aca="false">AC28</f>
        <v>0</v>
      </c>
      <c r="AD136" s="130" t="n">
        <f aca="false">AB136-AC136</f>
        <v>0</v>
      </c>
      <c r="AE136" s="103"/>
      <c r="AF136" s="130" t="n">
        <f aca="false">T136</f>
        <v>0</v>
      </c>
      <c r="AG136" s="157" t="n">
        <f aca="false">AG28</f>
        <v>0</v>
      </c>
      <c r="AH136" s="130" t="n">
        <f aca="false">AF136-AG136</f>
        <v>0</v>
      </c>
      <c r="AI136" s="103"/>
      <c r="AJ136" s="130" t="n">
        <f aca="false">AC136-AG136</f>
        <v>0</v>
      </c>
      <c r="AK136" s="130" t="n">
        <f aca="false">AB136-AF136</f>
        <v>0</v>
      </c>
      <c r="AL136" s="103"/>
      <c r="AM136" s="157" t="n">
        <f aca="false">AM28</f>
        <v>0</v>
      </c>
      <c r="AN136" s="130" t="n">
        <f aca="false">AB136-AM136</f>
        <v>0</v>
      </c>
      <c r="AO136" s="103"/>
      <c r="AP136" s="157" t="n">
        <f aca="false">AP28</f>
        <v>0</v>
      </c>
      <c r="AQ136" s="130" t="n">
        <f aca="false">AC136-AP136</f>
        <v>0</v>
      </c>
      <c r="AR136" s="103"/>
      <c r="AS136" s="103"/>
      <c r="AT136" s="103"/>
      <c r="AU136" s="103"/>
    </row>
    <row r="137" customFormat="false" ht="12.75" hidden="false" customHeight="true" outlineLevel="0" collapsed="false">
      <c r="A137" s="162" t="str">
        <f aca="false">A33</f>
        <v>   Other Regulatory Assets / Liabilities</v>
      </c>
      <c r="B137" s="103"/>
      <c r="C137" s="103"/>
      <c r="D137" s="157" t="n">
        <f aca="false">D33</f>
        <v>-2772</v>
      </c>
      <c r="E137" s="157" t="n">
        <f aca="false">E33</f>
        <v>3495</v>
      </c>
      <c r="F137" s="157" t="n">
        <f aca="false">F33</f>
        <v>346</v>
      </c>
      <c r="G137" s="157" t="n">
        <f aca="false">G33</f>
        <v>1502</v>
      </c>
      <c r="H137" s="157" t="n">
        <f aca="false">H33</f>
        <v>4305</v>
      </c>
      <c r="I137" s="157" t="n">
        <f aca="false">I33</f>
        <v>3265</v>
      </c>
      <c r="J137" s="157" t="n">
        <f aca="false">J33</f>
        <v>3422</v>
      </c>
      <c r="K137" s="157" t="n">
        <f aca="false">K33</f>
        <v>341</v>
      </c>
      <c r="L137" s="157" t="n">
        <f aca="false">L33</f>
        <v>418</v>
      </c>
      <c r="M137" s="157" t="n">
        <f aca="false">M33</f>
        <v>317</v>
      </c>
      <c r="N137" s="157" t="n">
        <f aca="false">N33</f>
        <v>918</v>
      </c>
      <c r="O137" s="157" t="n">
        <f aca="false">O33</f>
        <v>-9786</v>
      </c>
      <c r="P137" s="157" t="n">
        <f aca="false">P33</f>
        <v>5771</v>
      </c>
      <c r="Q137" s="157" t="n">
        <f aca="false">Q33</f>
        <v>13563</v>
      </c>
      <c r="R137" s="157" t="n">
        <f aca="false">R33</f>
        <v>-7792</v>
      </c>
      <c r="S137" s="103"/>
      <c r="T137" s="157" t="n">
        <f aca="false">T33</f>
        <v>3321</v>
      </c>
      <c r="U137" s="157" t="n">
        <f aca="false">U33</f>
        <v>3854</v>
      </c>
      <c r="V137" s="157" t="n">
        <f aca="false">V33</f>
        <v>-533</v>
      </c>
      <c r="W137" s="103"/>
      <c r="X137" s="103"/>
      <c r="Y137" s="103"/>
      <c r="Z137" s="103"/>
      <c r="AA137" s="103" t="str">
        <f aca="false">A137</f>
        <v>   Other Regulatory Assets / Liabilities</v>
      </c>
      <c r="AB137" s="157" t="n">
        <f aca="false">P137</f>
        <v>5771</v>
      </c>
      <c r="AC137" s="157" t="n">
        <f aca="false">AC33</f>
        <v>14322</v>
      </c>
      <c r="AD137" s="130" t="n">
        <f aca="false">AB137-AC137</f>
        <v>-8551</v>
      </c>
      <c r="AE137" s="103"/>
      <c r="AF137" s="130" t="n">
        <f aca="false">T137</f>
        <v>3321</v>
      </c>
      <c r="AG137" s="157" t="n">
        <f aca="false">AG33</f>
        <v>3854</v>
      </c>
      <c r="AH137" s="130" t="n">
        <f aca="false">AF137-AG137</f>
        <v>-533</v>
      </c>
      <c r="AI137" s="103"/>
      <c r="AJ137" s="130" t="n">
        <f aca="false">AC137-AG137</f>
        <v>10468</v>
      </c>
      <c r="AK137" s="130" t="n">
        <f aca="false">AB137-AF137</f>
        <v>2450</v>
      </c>
      <c r="AL137" s="103"/>
      <c r="AM137" s="157" t="n">
        <f aca="false">AM33</f>
        <v>810</v>
      </c>
      <c r="AN137" s="130" t="n">
        <f aca="false">AB137-AM137</f>
        <v>4961</v>
      </c>
      <c r="AO137" s="103"/>
      <c r="AP137" s="157" t="n">
        <f aca="false">AP33</f>
        <v>11376</v>
      </c>
      <c r="AQ137" s="130" t="n">
        <f aca="false">AC137-AP137</f>
        <v>2946</v>
      </c>
      <c r="AR137" s="103"/>
      <c r="AS137" s="103"/>
      <c r="AT137" s="103"/>
      <c r="AU137" s="103"/>
    </row>
    <row r="138" customFormat="false" ht="12.75" hidden="false" customHeight="true" outlineLevel="0" collapsed="false">
      <c r="A138" s="162" t="str">
        <f aca="false">A29</f>
        <v>   Price Risk Management Activities (Net)</v>
      </c>
      <c r="B138" s="103"/>
      <c r="C138" s="103"/>
      <c r="D138" s="157" t="n">
        <f aca="false">D29</f>
        <v>-483</v>
      </c>
      <c r="E138" s="157" t="n">
        <f aca="false">E29</f>
        <v>75</v>
      </c>
      <c r="F138" s="157" t="n">
        <f aca="false">F29</f>
        <v>62</v>
      </c>
      <c r="G138" s="157" t="n">
        <f aca="false">G29</f>
        <v>153</v>
      </c>
      <c r="H138" s="157" t="n">
        <f aca="false">H29</f>
        <v>141</v>
      </c>
      <c r="I138" s="157" t="n">
        <f aca="false">I29</f>
        <v>138</v>
      </c>
      <c r="J138" s="157" t="n">
        <f aca="false">J29</f>
        <v>717</v>
      </c>
      <c r="K138" s="157" t="n">
        <f aca="false">K29</f>
        <v>0</v>
      </c>
      <c r="L138" s="157" t="n">
        <f aca="false">L29</f>
        <v>0</v>
      </c>
      <c r="M138" s="157" t="n">
        <f aca="false">M29</f>
        <v>0</v>
      </c>
      <c r="N138" s="157" t="n">
        <f aca="false">N29</f>
        <v>0</v>
      </c>
      <c r="O138" s="157" t="n">
        <f aca="false">O29</f>
        <v>0</v>
      </c>
      <c r="P138" s="157" t="n">
        <f aca="false">P29</f>
        <v>803</v>
      </c>
      <c r="Q138" s="157" t="n">
        <f aca="false">Q29</f>
        <v>803</v>
      </c>
      <c r="R138" s="157" t="n">
        <f aca="false">R29</f>
        <v>0</v>
      </c>
      <c r="S138" s="103"/>
      <c r="T138" s="157" t="n">
        <f aca="false">T29</f>
        <v>0</v>
      </c>
      <c r="U138" s="157" t="n">
        <f aca="false">U29</f>
        <v>0</v>
      </c>
      <c r="V138" s="157" t="n">
        <f aca="false">V29</f>
        <v>0</v>
      </c>
      <c r="W138" s="103"/>
      <c r="X138" s="103"/>
      <c r="Y138" s="103"/>
      <c r="Z138" s="103"/>
      <c r="AA138" s="103" t="str">
        <f aca="false">A138</f>
        <v>   Price Risk Management Activities (Net)</v>
      </c>
      <c r="AB138" s="157" t="n">
        <f aca="false">P138</f>
        <v>803</v>
      </c>
      <c r="AC138" s="157" t="n">
        <f aca="false">AC29</f>
        <v>803</v>
      </c>
      <c r="AD138" s="130" t="n">
        <f aca="false">AB138-AC138</f>
        <v>0</v>
      </c>
      <c r="AE138" s="103"/>
      <c r="AF138" s="130" t="n">
        <f aca="false">T138</f>
        <v>0</v>
      </c>
      <c r="AG138" s="157" t="n">
        <f aca="false">AG29</f>
        <v>0</v>
      </c>
      <c r="AH138" s="130" t="n">
        <f aca="false">AF138-AG138</f>
        <v>0</v>
      </c>
      <c r="AI138" s="103"/>
      <c r="AJ138" s="130" t="n">
        <f aca="false">AC138-AG138</f>
        <v>803</v>
      </c>
      <c r="AK138" s="130" t="n">
        <f aca="false">AB138-AF138</f>
        <v>803</v>
      </c>
      <c r="AL138" s="103"/>
      <c r="AM138" s="157" t="n">
        <f aca="false">AM29</f>
        <v>86</v>
      </c>
      <c r="AN138" s="130" t="n">
        <f aca="false">AB138-AM138</f>
        <v>717</v>
      </c>
      <c r="AO138" s="103"/>
      <c r="AP138" s="157" t="n">
        <f aca="false">AP29</f>
        <v>86</v>
      </c>
      <c r="AQ138" s="130" t="n">
        <f aca="false">AC138-AP138</f>
        <v>717</v>
      </c>
      <c r="AR138" s="103"/>
      <c r="AS138" s="103"/>
      <c r="AT138" s="103"/>
      <c r="AU138" s="103"/>
    </row>
    <row r="139" customFormat="false" ht="12.75" hidden="false" customHeight="true" outlineLevel="0" collapsed="false">
      <c r="A139" s="162" t="str">
        <f aca="false">A30</f>
        <v>   Equity Earnings</v>
      </c>
      <c r="B139" s="103"/>
      <c r="C139" s="103"/>
      <c r="D139" s="157" t="n">
        <f aca="false">D30</f>
        <v>-525</v>
      </c>
      <c r="E139" s="157" t="n">
        <f aca="false">E30</f>
        <v>-329</v>
      </c>
      <c r="F139" s="157" t="n">
        <f aca="false">F30</f>
        <v>-313</v>
      </c>
      <c r="G139" s="157" t="n">
        <f aca="false">G30</f>
        <v>-1284</v>
      </c>
      <c r="H139" s="157" t="n">
        <f aca="false">H30</f>
        <v>-318</v>
      </c>
      <c r="I139" s="157" t="n">
        <f aca="false">I30</f>
        <v>-436</v>
      </c>
      <c r="J139" s="157" t="n">
        <f aca="false">J30</f>
        <v>-335</v>
      </c>
      <c r="K139" s="157" t="n">
        <f aca="false">K30</f>
        <v>-270</v>
      </c>
      <c r="L139" s="157" t="n">
        <f aca="false">L30</f>
        <v>-324</v>
      </c>
      <c r="M139" s="157" t="n">
        <f aca="false">M30</f>
        <v>-325</v>
      </c>
      <c r="N139" s="157" t="n">
        <f aca="false">N30</f>
        <v>-342</v>
      </c>
      <c r="O139" s="157" t="n">
        <f aca="false">O30</f>
        <v>-16</v>
      </c>
      <c r="P139" s="157" t="n">
        <f aca="false">P30</f>
        <v>-4817</v>
      </c>
      <c r="Q139" s="157" t="n">
        <f aca="false">Q30</f>
        <v>-3540</v>
      </c>
      <c r="R139" s="157" t="n">
        <f aca="false">R30</f>
        <v>-1277</v>
      </c>
      <c r="S139" s="103"/>
      <c r="T139" s="157" t="n">
        <f aca="false">T30</f>
        <v>-3693</v>
      </c>
      <c r="U139" s="157" t="n">
        <f aca="false">U30</f>
        <v>-3010</v>
      </c>
      <c r="V139" s="157" t="n">
        <f aca="false">V30</f>
        <v>-683</v>
      </c>
      <c r="W139" s="103"/>
      <c r="X139" s="103"/>
      <c r="Y139" s="103"/>
      <c r="Z139" s="103"/>
      <c r="AA139" s="103" t="str">
        <f aca="false">A139</f>
        <v>   Equity Earnings</v>
      </c>
      <c r="AB139" s="157" t="n">
        <f aca="false">P139</f>
        <v>-4817</v>
      </c>
      <c r="AC139" s="157" t="n">
        <f aca="false">AC30</f>
        <v>-4134</v>
      </c>
      <c r="AD139" s="130" t="n">
        <f aca="false">AB139-AC139</f>
        <v>-683</v>
      </c>
      <c r="AE139" s="103"/>
      <c r="AF139" s="130" t="n">
        <f aca="false">T139</f>
        <v>-3693</v>
      </c>
      <c r="AG139" s="157" t="n">
        <f aca="false">AG30</f>
        <v>-3010</v>
      </c>
      <c r="AH139" s="130" t="n">
        <f aca="false">AF139-AG139</f>
        <v>-683</v>
      </c>
      <c r="AI139" s="103"/>
      <c r="AJ139" s="130" t="n">
        <f aca="false">AC139-AG139</f>
        <v>-1124</v>
      </c>
      <c r="AK139" s="130" t="n">
        <f aca="false">AB139-AF139</f>
        <v>-1124</v>
      </c>
      <c r="AL139" s="103"/>
      <c r="AM139" s="157" t="n">
        <f aca="false">AM30</f>
        <v>-4840</v>
      </c>
      <c r="AN139" s="130" t="n">
        <f aca="false">AB139-AM139</f>
        <v>23</v>
      </c>
      <c r="AO139" s="103"/>
      <c r="AP139" s="157" t="n">
        <f aca="false">AP30</f>
        <v>-4157</v>
      </c>
      <c r="AQ139" s="130" t="n">
        <f aca="false">AC139-AP139</f>
        <v>23</v>
      </c>
      <c r="AR139" s="103"/>
      <c r="AS139" s="103"/>
      <c r="AT139" s="103"/>
      <c r="AU139" s="103"/>
    </row>
    <row r="140" customFormat="false" ht="12.75" hidden="false" customHeight="true" outlineLevel="0" collapsed="false">
      <c r="A140" s="162" t="str">
        <f aca="false">A31</f>
        <v>   Equity / Partner. Distributions / Overthrust Sale (Book Basis)</v>
      </c>
      <c r="B140" s="103"/>
      <c r="C140" s="103"/>
      <c r="D140" s="157" t="n">
        <f aca="false">D31</f>
        <v>0</v>
      </c>
      <c r="E140" s="157" t="n">
        <f aca="false">E31</f>
        <v>0</v>
      </c>
      <c r="F140" s="157" t="n">
        <f aca="false">F31</f>
        <v>800</v>
      </c>
      <c r="G140" s="157" t="n">
        <f aca="false">G31</f>
        <v>0</v>
      </c>
      <c r="H140" s="157" t="n">
        <f aca="false">H31</f>
        <v>0</v>
      </c>
      <c r="I140" s="157" t="n">
        <f aca="false">I31</f>
        <v>3800</v>
      </c>
      <c r="J140" s="157" t="n">
        <f aca="false">J31</f>
        <v>0</v>
      </c>
      <c r="K140" s="157" t="n">
        <f aca="false">K31</f>
        <v>2000</v>
      </c>
      <c r="L140" s="157" t="n">
        <f aca="false">L31</f>
        <v>800</v>
      </c>
      <c r="M140" s="157" t="n">
        <f aca="false">M31</f>
        <v>0</v>
      </c>
      <c r="N140" s="157" t="n">
        <f aca="false">N31</f>
        <v>0</v>
      </c>
      <c r="O140" s="157" t="n">
        <f aca="false">O31</f>
        <v>800</v>
      </c>
      <c r="P140" s="157" t="n">
        <f aca="false">P31</f>
        <v>8200</v>
      </c>
      <c r="Q140" s="157" t="n">
        <f aca="false">Q31</f>
        <v>4600</v>
      </c>
      <c r="R140" s="157" t="n">
        <f aca="false">R31</f>
        <v>3600</v>
      </c>
      <c r="S140" s="103"/>
      <c r="T140" s="157" t="n">
        <f aca="false">T31</f>
        <v>3200</v>
      </c>
      <c r="U140" s="157" t="n">
        <f aca="false">U31</f>
        <v>2400</v>
      </c>
      <c r="V140" s="157" t="n">
        <f aca="false">V31</f>
        <v>800</v>
      </c>
      <c r="W140" s="103"/>
      <c r="X140" s="103"/>
      <c r="Y140" s="103"/>
      <c r="Z140" s="103"/>
      <c r="AA140" s="103" t="str">
        <f aca="false">A140</f>
        <v>   Equity / Partner. Distributions / Overthrust Sale (Book Basis)</v>
      </c>
      <c r="AB140" s="157" t="n">
        <f aca="false">P140</f>
        <v>8200</v>
      </c>
      <c r="AC140" s="157" t="n">
        <f aca="false">AC31</f>
        <v>7400</v>
      </c>
      <c r="AD140" s="130" t="n">
        <f aca="false">AB140-AC140</f>
        <v>800</v>
      </c>
      <c r="AE140" s="103"/>
      <c r="AF140" s="130" t="n">
        <f aca="false">T140</f>
        <v>3200</v>
      </c>
      <c r="AG140" s="157" t="n">
        <f aca="false">AG31</f>
        <v>2400</v>
      </c>
      <c r="AH140" s="130" t="n">
        <f aca="false">AF140-AG140</f>
        <v>800</v>
      </c>
      <c r="AI140" s="103"/>
      <c r="AJ140" s="130" t="n">
        <f aca="false">AC140-AG140</f>
        <v>5000</v>
      </c>
      <c r="AK140" s="130" t="n">
        <f aca="false">AB140-AF140</f>
        <v>5000</v>
      </c>
      <c r="AL140" s="103"/>
      <c r="AM140" s="157" t="n">
        <f aca="false">AM31</f>
        <v>6200</v>
      </c>
      <c r="AN140" s="130" t="n">
        <f aca="false">AB140-AM140</f>
        <v>2000</v>
      </c>
      <c r="AO140" s="103"/>
      <c r="AP140" s="157" t="n">
        <f aca="false">AP31</f>
        <v>5400</v>
      </c>
      <c r="AQ140" s="130" t="n">
        <f aca="false">AC140-AP140</f>
        <v>2000</v>
      </c>
      <c r="AR140" s="103"/>
      <c r="AS140" s="103"/>
      <c r="AT140" s="103"/>
      <c r="AU140" s="103"/>
    </row>
    <row r="141" customFormat="false" ht="12.75" hidden="false" customHeight="true" outlineLevel="0" collapsed="false">
      <c r="A141" s="162" t="str">
        <f aca="false">A34</f>
        <v>   Other (Incl. All Capital Costs &amp; Current Reserve Activity) </v>
      </c>
      <c r="B141" s="103"/>
      <c r="C141" s="103"/>
      <c r="D141" s="159" t="n">
        <f aca="false">D12+D34</f>
        <v>1266</v>
      </c>
      <c r="E141" s="159" t="n">
        <f aca="false">E12+E34</f>
        <v>-524</v>
      </c>
      <c r="F141" s="159" t="n">
        <f aca="false">F12+F34</f>
        <v>-3806</v>
      </c>
      <c r="G141" s="159" t="n">
        <f aca="false">G12+G34</f>
        <v>-412</v>
      </c>
      <c r="H141" s="159" t="n">
        <f aca="false">H12+H34</f>
        <v>101</v>
      </c>
      <c r="I141" s="159" t="n">
        <f aca="false">I12+I34</f>
        <v>-1192</v>
      </c>
      <c r="J141" s="159" t="n">
        <f aca="false">J12+J34</f>
        <v>-1202</v>
      </c>
      <c r="K141" s="159" t="n">
        <f aca="false">K12+K34</f>
        <v>-158</v>
      </c>
      <c r="L141" s="159" t="n">
        <f aca="false">L12+L34</f>
        <v>-219</v>
      </c>
      <c r="M141" s="159" t="n">
        <f aca="false">M12+M34</f>
        <v>-161</v>
      </c>
      <c r="N141" s="159" t="n">
        <f aca="false">N12+N34</f>
        <v>-86</v>
      </c>
      <c r="O141" s="159" t="n">
        <f aca="false">O12+O34</f>
        <v>-377</v>
      </c>
      <c r="P141" s="159" t="n">
        <f aca="false">P12+P34</f>
        <v>-6770</v>
      </c>
      <c r="Q141" s="159" t="n">
        <f aca="false">Q12+Q34</f>
        <v>-5769</v>
      </c>
      <c r="R141" s="159" t="n">
        <f aca="false">R12+R34</f>
        <v>-1001</v>
      </c>
      <c r="S141" s="160"/>
      <c r="T141" s="163" t="n">
        <f aca="false">T12+T34+T52-T52</f>
        <v>-7962</v>
      </c>
      <c r="U141" s="163" t="n">
        <f aca="false">U12+U34+U52-U52</f>
        <v>-5862</v>
      </c>
      <c r="V141" s="163" t="n">
        <f aca="false">V12+V34+V52-V52</f>
        <v>-2100</v>
      </c>
      <c r="W141" s="103"/>
      <c r="X141" s="103"/>
      <c r="Y141" s="103"/>
      <c r="Z141" s="103"/>
      <c r="AA141" s="103" t="str">
        <f aca="false">A141</f>
        <v>   Other (Incl. All Capital Costs &amp; Current Reserve Activity) </v>
      </c>
      <c r="AB141" s="159" t="n">
        <f aca="false">P141</f>
        <v>-6770</v>
      </c>
      <c r="AC141" s="159" t="n">
        <f aca="false">AC12+AC34</f>
        <v>-6146</v>
      </c>
      <c r="AD141" s="143" t="n">
        <f aca="false">AB141-AC141</f>
        <v>-624</v>
      </c>
      <c r="AE141" s="160"/>
      <c r="AF141" s="143" t="n">
        <f aca="false">T141</f>
        <v>-7962</v>
      </c>
      <c r="AG141" s="163" t="n">
        <f aca="false">AG12+AG34+(AG52-AG52)</f>
        <v>-5862</v>
      </c>
      <c r="AH141" s="143" t="n">
        <f aca="false">AF141-AG141</f>
        <v>-2100</v>
      </c>
      <c r="AI141" s="103"/>
      <c r="AJ141" s="143" t="n">
        <f aca="false">AC141-AG141</f>
        <v>-284</v>
      </c>
      <c r="AK141" s="143" t="n">
        <f aca="false">AB141-AF141</f>
        <v>1192</v>
      </c>
      <c r="AL141" s="103"/>
      <c r="AM141" s="159" t="n">
        <f aca="false">AM12+AM34</f>
        <v>-7421</v>
      </c>
      <c r="AN141" s="143" t="n">
        <f aca="false">AB141-AM141</f>
        <v>651</v>
      </c>
      <c r="AO141" s="103"/>
      <c r="AP141" s="159" t="n">
        <f aca="false">AP12+AP34</f>
        <v>-7213</v>
      </c>
      <c r="AQ141" s="143" t="n">
        <f aca="false">AC141-AP141</f>
        <v>1067</v>
      </c>
      <c r="AR141" s="103"/>
      <c r="AS141" s="103"/>
      <c r="AT141" s="103"/>
      <c r="AU141" s="103"/>
    </row>
    <row r="142" customFormat="false" ht="3.95" hidden="false" customHeight="true" outlineLevel="0" collapsed="false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0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</row>
    <row r="143" customFormat="false" ht="12.75" hidden="false" customHeight="true" outlineLevel="0" collapsed="false">
      <c r="A143" s="129" t="s">
        <v>541</v>
      </c>
      <c r="B143" s="103"/>
      <c r="C143" s="103"/>
      <c r="D143" s="164" t="n">
        <f aca="false">SUM(D134:D141)</f>
        <v>24490</v>
      </c>
      <c r="E143" s="164" t="n">
        <f aca="false">SUM(E134:E141)</f>
        <v>25246</v>
      </c>
      <c r="F143" s="164" t="n">
        <f aca="false">SUM(F134:F141)</f>
        <v>17529</v>
      </c>
      <c r="G143" s="164" t="n">
        <f aca="false">SUM(G134:G141)</f>
        <v>30190</v>
      </c>
      <c r="H143" s="164" t="n">
        <f aca="false">SUM(H134:H141)</f>
        <v>10551</v>
      </c>
      <c r="I143" s="164" t="n">
        <f aca="false">SUM(I134:I141)</f>
        <v>9004</v>
      </c>
      <c r="J143" s="164" t="n">
        <f aca="false">SUM(J134:J141)</f>
        <v>8861</v>
      </c>
      <c r="K143" s="164" t="n">
        <f aca="false">SUM(K134:K141)</f>
        <v>11581</v>
      </c>
      <c r="L143" s="164" t="n">
        <f aca="false">SUM(L134:L141)</f>
        <v>7428</v>
      </c>
      <c r="M143" s="164" t="n">
        <f aca="false">SUM(M134:M141)</f>
        <v>-7968</v>
      </c>
      <c r="N143" s="164" t="n">
        <f aca="false">SUM(N134:N141)</f>
        <v>19470</v>
      </c>
      <c r="O143" s="164" t="n">
        <f aca="false">SUM(O134:O141)</f>
        <v>9736</v>
      </c>
      <c r="P143" s="164" t="n">
        <f aca="false">SUM(P134:P141)</f>
        <v>166118</v>
      </c>
      <c r="Q143" s="164" t="n">
        <f aca="false">SUM(Q134:Q141)</f>
        <v>125871</v>
      </c>
      <c r="R143" s="164" t="n">
        <f aca="false">SUM(R134:R141)</f>
        <v>40247</v>
      </c>
      <c r="S143" s="165"/>
      <c r="T143" s="164" t="n">
        <f aca="false">SUM(T134:T141)</f>
        <v>143009</v>
      </c>
      <c r="U143" s="164" t="n">
        <f aca="false">SUM(U134:U141)</f>
        <v>96534</v>
      </c>
      <c r="V143" s="164" t="n">
        <f aca="false">SUM(V134:V141)</f>
        <v>46475</v>
      </c>
      <c r="W143" s="103"/>
      <c r="X143" s="103"/>
      <c r="Y143" s="103"/>
      <c r="Z143" s="103"/>
      <c r="AA143" s="100" t="str">
        <f aca="false">A143</f>
        <v>            Total Funds Flow From Operations</v>
      </c>
      <c r="AB143" s="164" t="n">
        <f aca="false">SUM(AB134:AB141)</f>
        <v>166118</v>
      </c>
      <c r="AC143" s="164" t="n">
        <f aca="false">SUM(AC134:AC141)</f>
        <v>144880</v>
      </c>
      <c r="AD143" s="164" t="n">
        <f aca="false">SUM(AD134:AD141)</f>
        <v>21238</v>
      </c>
      <c r="AE143" s="164"/>
      <c r="AF143" s="164" t="n">
        <f aca="false">SUM(AF134:AF141)</f>
        <v>143009</v>
      </c>
      <c r="AG143" s="164" t="n">
        <f aca="false">SUM(AG134:AG141)</f>
        <v>96534</v>
      </c>
      <c r="AH143" s="164" t="n">
        <f aca="false">SUM(AH134:AH141)</f>
        <v>46475</v>
      </c>
      <c r="AI143" s="103"/>
      <c r="AJ143" s="164" t="n">
        <f aca="false">SUM(AJ134:AJ141)</f>
        <v>48346</v>
      </c>
      <c r="AK143" s="164" t="n">
        <f aca="false">SUM(AK134:AK141)</f>
        <v>23109</v>
      </c>
      <c r="AL143" s="103"/>
      <c r="AM143" s="166" t="n">
        <f aca="false">SUM(AM134:AM141)</f>
        <v>153645</v>
      </c>
      <c r="AN143" s="166" t="n">
        <f aca="false">SUM(AN134:AN141)</f>
        <v>12473</v>
      </c>
      <c r="AO143" s="103"/>
      <c r="AP143" s="166" t="n">
        <f aca="false">SUM(AP134:AP141)</f>
        <v>135213</v>
      </c>
      <c r="AQ143" s="166" t="n">
        <f aca="false">SUM(AQ134:AQ141)</f>
        <v>9667</v>
      </c>
      <c r="AR143" s="103"/>
      <c r="AS143" s="103"/>
      <c r="AT143" s="103"/>
      <c r="AU143" s="103"/>
    </row>
    <row r="144" customFormat="false" ht="3.95" hidden="false" customHeight="true" outlineLevel="0" collapsed="false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0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</row>
    <row r="145" customFormat="false" ht="12.75" hidden="false" customHeight="true" outlineLevel="0" collapsed="false">
      <c r="A145" s="103" t="str">
        <f aca="false">A15</f>
        <v>   Working Capital Changes: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 t="str">
        <f aca="false">A145</f>
        <v>   Working Capital Changes:</v>
      </c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</row>
    <row r="146" customFormat="false" ht="12.75" hidden="false" customHeight="true" outlineLevel="0" collapsed="false">
      <c r="A146" s="132" t="s">
        <v>542</v>
      </c>
      <c r="B146" s="103"/>
      <c r="C146" s="103"/>
      <c r="D146" s="157" t="n">
        <f aca="false">D16+D21</f>
        <v>-5968</v>
      </c>
      <c r="E146" s="157" t="n">
        <f aca="false">E16+E21</f>
        <v>14003</v>
      </c>
      <c r="F146" s="157" t="n">
        <f aca="false">F16+F21</f>
        <v>-6349</v>
      </c>
      <c r="G146" s="157" t="n">
        <f aca="false">G16+G21</f>
        <v>20199</v>
      </c>
      <c r="H146" s="157" t="n">
        <f aca="false">H16+H21</f>
        <v>16089</v>
      </c>
      <c r="I146" s="157" t="n">
        <f aca="false">I16+I21</f>
        <v>-11461</v>
      </c>
      <c r="J146" s="157" t="n">
        <f aca="false">J16+J21</f>
        <v>23021</v>
      </c>
      <c r="K146" s="157" t="n">
        <f aca="false">K16+K21</f>
        <v>-286</v>
      </c>
      <c r="L146" s="157" t="n">
        <f aca="false">L16+L21</f>
        <v>1749</v>
      </c>
      <c r="M146" s="157" t="n">
        <f aca="false">M16+M21</f>
        <v>619</v>
      </c>
      <c r="N146" s="157" t="n">
        <f aca="false">N16+N21</f>
        <v>-28987</v>
      </c>
      <c r="O146" s="157" t="n">
        <f aca="false">O16+O21</f>
        <v>-1198</v>
      </c>
      <c r="P146" s="157" t="n">
        <f aca="false">P16+P21</f>
        <v>21431</v>
      </c>
      <c r="Q146" s="157" t="n">
        <f aca="false">Q16+Q21</f>
        <v>49534</v>
      </c>
      <c r="R146" s="157" t="n">
        <f aca="false">R16+R21</f>
        <v>-28103</v>
      </c>
      <c r="S146" s="103"/>
      <c r="T146" s="157" t="n">
        <f aca="false">T16+T21</f>
        <v>497</v>
      </c>
      <c r="U146" s="157" t="n">
        <f aca="false">U16+U21</f>
        <v>29620</v>
      </c>
      <c r="V146" s="157" t="n">
        <f aca="false">V16+V21</f>
        <v>-29123</v>
      </c>
      <c r="W146" s="103"/>
      <c r="X146" s="103"/>
      <c r="Y146" s="103"/>
      <c r="Z146" s="103"/>
      <c r="AA146" s="103" t="str">
        <f aca="false">A146</f>
        <v>      Accounts Receivable (Including Exchange Gas Rec.)</v>
      </c>
      <c r="AB146" s="157" t="n">
        <f aca="false">P146</f>
        <v>21431</v>
      </c>
      <c r="AC146" s="157" t="n">
        <f aca="false">AC16+AC21</f>
        <v>50997</v>
      </c>
      <c r="AD146" s="130" t="n">
        <f aca="false">AB146-AC146</f>
        <v>-29566</v>
      </c>
      <c r="AE146" s="103"/>
      <c r="AF146" s="130" t="n">
        <f aca="false">T146</f>
        <v>497</v>
      </c>
      <c r="AG146" s="157" t="n">
        <f aca="false">AG16+AG21</f>
        <v>29620</v>
      </c>
      <c r="AH146" s="130" t="n">
        <f aca="false">AF146-AG146</f>
        <v>-29123</v>
      </c>
      <c r="AI146" s="103"/>
      <c r="AJ146" s="130" t="n">
        <f aca="false">AC146-AG146</f>
        <v>21377</v>
      </c>
      <c r="AK146" s="130" t="n">
        <f aca="false">AB146-AF146</f>
        <v>20934</v>
      </c>
      <c r="AL146" s="103"/>
      <c r="AM146" s="157" t="n">
        <f aca="false">AM16+AM21</f>
        <v>5843</v>
      </c>
      <c r="AN146" s="130" t="n">
        <f aca="false">AB146-AM146</f>
        <v>15588</v>
      </c>
      <c r="AO146" s="103"/>
      <c r="AP146" s="157" t="n">
        <f aca="false">AP16+AP21</f>
        <v>36186</v>
      </c>
      <c r="AQ146" s="130" t="n">
        <f aca="false">AC146-AP146</f>
        <v>14811</v>
      </c>
      <c r="AR146" s="103"/>
      <c r="AS146" s="103"/>
      <c r="AT146" s="103"/>
      <c r="AU146" s="103"/>
    </row>
    <row r="147" customFormat="false" ht="12.75" hidden="false" customHeight="true" outlineLevel="0" collapsed="false">
      <c r="A147" s="132" t="s">
        <v>543</v>
      </c>
      <c r="B147" s="103"/>
      <c r="C147" s="103"/>
      <c r="D147" s="157" t="n">
        <f aca="false">D18+D19+D22</f>
        <v>52851</v>
      </c>
      <c r="E147" s="157" t="n">
        <f aca="false">E18+E19+E22</f>
        <v>-53828</v>
      </c>
      <c r="F147" s="157" t="n">
        <f aca="false">F18+F19+F22</f>
        <v>-3137</v>
      </c>
      <c r="G147" s="157" t="n">
        <f aca="false">G18+G19+G22</f>
        <v>-11232</v>
      </c>
      <c r="H147" s="157" t="n">
        <f aca="false">H18+H19+H22</f>
        <v>-9274</v>
      </c>
      <c r="I147" s="157" t="n">
        <f aca="false">I18+I19+I22</f>
        <v>1252</v>
      </c>
      <c r="J147" s="157" t="n">
        <f aca="false">J18+J19+J22</f>
        <v>-20237</v>
      </c>
      <c r="K147" s="157" t="n">
        <f aca="false">K18+K19+K22</f>
        <v>3509</v>
      </c>
      <c r="L147" s="157" t="n">
        <f aca="false">L18+L19+L22</f>
        <v>1950</v>
      </c>
      <c r="M147" s="157" t="n">
        <f aca="false">M18+M19+M22</f>
        <v>-3995</v>
      </c>
      <c r="N147" s="157" t="n">
        <f aca="false">N18+N19+N22</f>
        <v>-5941</v>
      </c>
      <c r="O147" s="157" t="n">
        <f aca="false">O18+O19+O22</f>
        <v>-1131</v>
      </c>
      <c r="P147" s="157" t="n">
        <f aca="false">P18+P19+P22</f>
        <v>-49213</v>
      </c>
      <c r="Q147" s="157" t="n">
        <f aca="false">Q18+Q19+Q22</f>
        <v>-43605</v>
      </c>
      <c r="R147" s="157" t="n">
        <f aca="false">R18+R19+R22</f>
        <v>-5608</v>
      </c>
      <c r="S147" s="103"/>
      <c r="T147" s="157" t="n">
        <f aca="false">T18+T19+T22</f>
        <v>-13421</v>
      </c>
      <c r="U147" s="157" t="n">
        <f aca="false">U18+U19+U22</f>
        <v>-13554</v>
      </c>
      <c r="V147" s="157" t="n">
        <f aca="false">V18+V19+V22</f>
        <v>133</v>
      </c>
      <c r="W147" s="103"/>
      <c r="X147" s="103"/>
      <c r="Y147" s="103"/>
      <c r="Z147" s="103"/>
      <c r="AA147" s="103" t="str">
        <f aca="false">A147</f>
        <v>      Accounts Payable &amp; Other (Including Exchange Gas Pay.)</v>
      </c>
      <c r="AB147" s="157" t="n">
        <f aca="false">P147</f>
        <v>-49213</v>
      </c>
      <c r="AC147" s="157" t="n">
        <f aca="false">AC18+AC19+AC22</f>
        <v>-38146</v>
      </c>
      <c r="AD147" s="130" t="n">
        <f aca="false">AB147-AC147</f>
        <v>-11067</v>
      </c>
      <c r="AE147" s="103"/>
      <c r="AF147" s="130" t="n">
        <f aca="false">T147</f>
        <v>-13421</v>
      </c>
      <c r="AG147" s="157" t="n">
        <f aca="false">AG18+AG19+AG22</f>
        <v>-13554</v>
      </c>
      <c r="AH147" s="130" t="n">
        <f aca="false">AF147-AG147</f>
        <v>133</v>
      </c>
      <c r="AI147" s="103"/>
      <c r="AJ147" s="130" t="n">
        <f aca="false">AC147-AG147</f>
        <v>-24592</v>
      </c>
      <c r="AK147" s="130" t="n">
        <f aca="false">AB147-AF147</f>
        <v>-35792</v>
      </c>
      <c r="AL147" s="103"/>
      <c r="AM147" s="157" t="n">
        <f aca="false">AM18+AM19+AM22</f>
        <v>-28262</v>
      </c>
      <c r="AN147" s="130" t="n">
        <f aca="false">AB147-AM147</f>
        <v>-20951</v>
      </c>
      <c r="AO147" s="103"/>
      <c r="AP147" s="157" t="n">
        <f aca="false">AP18+AP19+AP22</f>
        <v>-21857</v>
      </c>
      <c r="AQ147" s="130" t="n">
        <f aca="false">AC147-AP147</f>
        <v>-16289</v>
      </c>
      <c r="AR147" s="103"/>
      <c r="AS147" s="103"/>
      <c r="AT147" s="103"/>
      <c r="AU147" s="103"/>
    </row>
    <row r="148" customFormat="false" ht="12.75" hidden="false" customHeight="true" outlineLevel="0" collapsed="false">
      <c r="A148" s="103" t="str">
        <f aca="false">A20</f>
        <v>      Over / (Under) Recovered Gas Cost</v>
      </c>
      <c r="B148" s="103"/>
      <c r="C148" s="103"/>
      <c r="D148" s="157" t="n">
        <f aca="false">D20</f>
        <v>0</v>
      </c>
      <c r="E148" s="157" t="n">
        <f aca="false">E20</f>
        <v>0</v>
      </c>
      <c r="F148" s="157" t="n">
        <f aca="false">F20</f>
        <v>0</v>
      </c>
      <c r="G148" s="157" t="n">
        <f aca="false">G20</f>
        <v>0</v>
      </c>
      <c r="H148" s="157" t="n">
        <f aca="false">H20</f>
        <v>0</v>
      </c>
      <c r="I148" s="157" t="n">
        <f aca="false">I20</f>
        <v>0</v>
      </c>
      <c r="J148" s="157" t="n">
        <f aca="false">J20</f>
        <v>0</v>
      </c>
      <c r="K148" s="157" t="n">
        <f aca="false">K20</f>
        <v>0</v>
      </c>
      <c r="L148" s="157" t="n">
        <f aca="false">L20</f>
        <v>0</v>
      </c>
      <c r="M148" s="157" t="n">
        <f aca="false">M20</f>
        <v>0</v>
      </c>
      <c r="N148" s="157" t="n">
        <f aca="false">N20</f>
        <v>0</v>
      </c>
      <c r="O148" s="157" t="n">
        <f aca="false">O20</f>
        <v>0</v>
      </c>
      <c r="P148" s="157" t="n">
        <f aca="false">P20</f>
        <v>0</v>
      </c>
      <c r="Q148" s="157" t="n">
        <f aca="false">Q20</f>
        <v>0</v>
      </c>
      <c r="R148" s="157" t="n">
        <f aca="false">R20</f>
        <v>0</v>
      </c>
      <c r="S148" s="103"/>
      <c r="T148" s="157" t="n">
        <f aca="false">T20</f>
        <v>0</v>
      </c>
      <c r="U148" s="157" t="n">
        <f aca="false">U20</f>
        <v>0</v>
      </c>
      <c r="V148" s="157" t="n">
        <f aca="false">V20</f>
        <v>0</v>
      </c>
      <c r="W148" s="103"/>
      <c r="X148" s="103"/>
      <c r="Y148" s="103"/>
      <c r="Z148" s="103"/>
      <c r="AA148" s="103" t="str">
        <f aca="false">A148</f>
        <v>      Over / (Under) Recovered Gas Cost</v>
      </c>
      <c r="AB148" s="157" t="n">
        <f aca="false">P148</f>
        <v>0</v>
      </c>
      <c r="AC148" s="157" t="n">
        <f aca="false">AC20</f>
        <v>0</v>
      </c>
      <c r="AD148" s="130" t="n">
        <f aca="false">AB148-AC148</f>
        <v>0</v>
      </c>
      <c r="AE148" s="103"/>
      <c r="AF148" s="130" t="n">
        <f aca="false">T148</f>
        <v>0</v>
      </c>
      <c r="AG148" s="157" t="n">
        <f aca="false">AG20</f>
        <v>0</v>
      </c>
      <c r="AH148" s="130" t="n">
        <f aca="false">AF148-AG148</f>
        <v>0</v>
      </c>
      <c r="AI148" s="103"/>
      <c r="AJ148" s="130" t="n">
        <f aca="false">AC148-AG148</f>
        <v>0</v>
      </c>
      <c r="AK148" s="130" t="n">
        <f aca="false">AB148-AF148</f>
        <v>0</v>
      </c>
      <c r="AL148" s="103"/>
      <c r="AM148" s="157" t="n">
        <f aca="false">AM20</f>
        <v>0</v>
      </c>
      <c r="AN148" s="130" t="n">
        <f aca="false">AB148-AM148</f>
        <v>0</v>
      </c>
      <c r="AO148" s="103"/>
      <c r="AP148" s="157" t="n">
        <f aca="false">AP20</f>
        <v>0</v>
      </c>
      <c r="AQ148" s="130" t="n">
        <f aca="false">AC148-AP148</f>
        <v>0</v>
      </c>
      <c r="AR148" s="103"/>
      <c r="AS148" s="103"/>
      <c r="AT148" s="103"/>
      <c r="AU148" s="103"/>
    </row>
    <row r="149" customFormat="false" ht="12.75" hidden="false" customHeight="true" outlineLevel="0" collapsed="false">
      <c r="A149" s="103" t="str">
        <f aca="false">A24</f>
        <v>      Accrued Interest - Third Party</v>
      </c>
      <c r="B149" s="103"/>
      <c r="C149" s="103"/>
      <c r="D149" s="157" t="n">
        <f aca="false">D24</f>
        <v>2875</v>
      </c>
      <c r="E149" s="157" t="n">
        <f aca="false">E24</f>
        <v>2875</v>
      </c>
      <c r="F149" s="157" t="n">
        <f aca="false">F24</f>
        <v>-2187</v>
      </c>
      <c r="G149" s="157" t="n">
        <f aca="false">G24</f>
        <v>2875</v>
      </c>
      <c r="H149" s="157" t="n">
        <f aca="false">H24</f>
        <v>-563</v>
      </c>
      <c r="I149" s="157" t="n">
        <f aca="false">I24</f>
        <v>-5875</v>
      </c>
      <c r="J149" s="157" t="n">
        <f aca="false">J24</f>
        <v>2875</v>
      </c>
      <c r="K149" s="157" t="n">
        <f aca="false">K24</f>
        <v>2875</v>
      </c>
      <c r="L149" s="157" t="n">
        <f aca="false">L24</f>
        <v>-2187</v>
      </c>
      <c r="M149" s="157" t="n">
        <f aca="false">M24</f>
        <v>2875</v>
      </c>
      <c r="N149" s="157" t="n">
        <f aca="false">N24</f>
        <v>-563</v>
      </c>
      <c r="O149" s="157" t="n">
        <f aca="false">O24</f>
        <v>-5875</v>
      </c>
      <c r="P149" s="157" t="n">
        <f aca="false">P24</f>
        <v>0</v>
      </c>
      <c r="Q149" s="157" t="n">
        <f aca="false">Q24</f>
        <v>2875</v>
      </c>
      <c r="R149" s="157" t="n">
        <f aca="false">R24</f>
        <v>-2875</v>
      </c>
      <c r="S149" s="103"/>
      <c r="T149" s="157" t="n">
        <f aca="false">T24</f>
        <v>0</v>
      </c>
      <c r="U149" s="157" t="n">
        <f aca="false">U24</f>
        <v>3563</v>
      </c>
      <c r="V149" s="157" t="n">
        <f aca="false">V24</f>
        <v>-3563</v>
      </c>
      <c r="W149" s="103"/>
      <c r="X149" s="103"/>
      <c r="Y149" s="103"/>
      <c r="Z149" s="103"/>
      <c r="AA149" s="103" t="str">
        <f aca="false">A149</f>
        <v>      Accrued Interest - Third Party</v>
      </c>
      <c r="AB149" s="157" t="n">
        <f aca="false">P149</f>
        <v>0</v>
      </c>
      <c r="AC149" s="157" t="n">
        <f aca="false">AC24</f>
        <v>3563</v>
      </c>
      <c r="AD149" s="130" t="n">
        <f aca="false">AB149-AC149</f>
        <v>-3563</v>
      </c>
      <c r="AE149" s="103"/>
      <c r="AF149" s="130" t="n">
        <f aca="false">T149</f>
        <v>0</v>
      </c>
      <c r="AG149" s="157" t="n">
        <f aca="false">AG24</f>
        <v>3563</v>
      </c>
      <c r="AH149" s="130" t="n">
        <f aca="false">AF149-AG149</f>
        <v>-3563</v>
      </c>
      <c r="AI149" s="103"/>
      <c r="AJ149" s="130" t="n">
        <f aca="false">AC149-AG149</f>
        <v>0</v>
      </c>
      <c r="AK149" s="130" t="n">
        <f aca="false">AB149-AF149</f>
        <v>0</v>
      </c>
      <c r="AL149" s="103"/>
      <c r="AM149" s="157" t="n">
        <f aca="false">AM24</f>
        <v>0</v>
      </c>
      <c r="AN149" s="130" t="n">
        <f aca="false">AB149-AM149</f>
        <v>0</v>
      </c>
      <c r="AO149" s="103"/>
      <c r="AP149" s="157" t="n">
        <f aca="false">AP24</f>
        <v>3563</v>
      </c>
      <c r="AQ149" s="130" t="n">
        <f aca="false">AC149-AP149</f>
        <v>0</v>
      </c>
      <c r="AR149" s="103"/>
      <c r="AS149" s="103"/>
      <c r="AT149" s="103"/>
      <c r="AU149" s="103"/>
    </row>
    <row r="150" customFormat="false" ht="12.75" hidden="false" customHeight="true" outlineLevel="0" collapsed="false">
      <c r="A150" s="115" t="s">
        <v>516</v>
      </c>
      <c r="B150" s="103"/>
      <c r="C150" s="103"/>
      <c r="D150" s="131" t="n">
        <v>0</v>
      </c>
      <c r="E150" s="131" t="n">
        <v>0</v>
      </c>
      <c r="F150" s="131" t="n">
        <v>0</v>
      </c>
      <c r="G150" s="131" t="n">
        <v>0</v>
      </c>
      <c r="H150" s="131" t="n">
        <v>0</v>
      </c>
      <c r="I150" s="131" t="n">
        <v>0</v>
      </c>
      <c r="J150" s="131" t="n">
        <v>0</v>
      </c>
      <c r="K150" s="131" t="n">
        <v>0</v>
      </c>
      <c r="L150" s="131" t="n">
        <v>0</v>
      </c>
      <c r="M150" s="131" t="n">
        <v>0</v>
      </c>
      <c r="N150" s="131" t="n">
        <v>0</v>
      </c>
      <c r="O150" s="131" t="n">
        <v>0</v>
      </c>
      <c r="P150" s="130" t="n">
        <f aca="false">SUM(D150:O150)</f>
        <v>0</v>
      </c>
      <c r="Q150" s="131" t="n">
        <f aca="false">SUM(D150:J150)</f>
        <v>0</v>
      </c>
      <c r="R150" s="130" t="n">
        <f aca="false">P150-Q150</f>
        <v>0</v>
      </c>
      <c r="S150" s="103"/>
      <c r="T150" s="131" t="n">
        <v>0</v>
      </c>
      <c r="U150" s="131" t="n">
        <v>0</v>
      </c>
      <c r="V150" s="130" t="n">
        <f aca="false">T150-U150</f>
        <v>0</v>
      </c>
      <c r="W150" s="103"/>
      <c r="X150" s="103"/>
      <c r="Y150" s="103"/>
      <c r="Z150" s="103"/>
      <c r="AA150" s="103" t="str">
        <f aca="false">A150</f>
        <v>      Accrued Income Taxes</v>
      </c>
      <c r="AB150" s="157" t="n">
        <f aca="false">P150</f>
        <v>0</v>
      </c>
      <c r="AC150" s="131" t="n">
        <f aca="false">SUM(D150:L150)</f>
        <v>0</v>
      </c>
      <c r="AD150" s="130" t="n">
        <f aca="false">AB150-AC150</f>
        <v>0</v>
      </c>
      <c r="AE150" s="103"/>
      <c r="AF150" s="130" t="n">
        <f aca="false">T150</f>
        <v>0</v>
      </c>
      <c r="AG150" s="131" t="n">
        <v>0</v>
      </c>
      <c r="AH150" s="130" t="n">
        <f aca="false">AF150-AG150</f>
        <v>0</v>
      </c>
      <c r="AI150" s="103"/>
      <c r="AJ150" s="130" t="n">
        <f aca="false">AC150-AG150</f>
        <v>0</v>
      </c>
      <c r="AK150" s="130" t="n">
        <f aca="false">AB150-AF150</f>
        <v>0</v>
      </c>
      <c r="AL150" s="103"/>
      <c r="AM150" s="131" t="n">
        <v>0</v>
      </c>
      <c r="AN150" s="130" t="n">
        <f aca="false">AB150-AM150</f>
        <v>0</v>
      </c>
      <c r="AO150" s="103"/>
      <c r="AP150" s="131" t="n">
        <v>0</v>
      </c>
      <c r="AQ150" s="130" t="n">
        <f aca="false">AC150-AP150</f>
        <v>0</v>
      </c>
      <c r="AR150" s="103"/>
      <c r="AS150" s="103"/>
      <c r="AT150" s="103"/>
      <c r="AU150" s="103"/>
    </row>
    <row r="151" customFormat="false" ht="12.75" hidden="false" customHeight="true" outlineLevel="0" collapsed="false">
      <c r="A151" s="103" t="str">
        <f aca="false">A25</f>
        <v>      Accrued Taxes, other than income</v>
      </c>
      <c r="B151" s="103"/>
      <c r="C151" s="103"/>
      <c r="D151" s="157" t="n">
        <f aca="false">D25</f>
        <v>-896</v>
      </c>
      <c r="E151" s="157" t="n">
        <f aca="false">E25</f>
        <v>4102</v>
      </c>
      <c r="F151" s="157" t="n">
        <f aca="false">F25</f>
        <v>-1420</v>
      </c>
      <c r="G151" s="157" t="n">
        <f aca="false">G25</f>
        <v>1757</v>
      </c>
      <c r="H151" s="157" t="n">
        <f aca="false">H25</f>
        <v>-3621</v>
      </c>
      <c r="I151" s="157" t="n">
        <f aca="false">I25</f>
        <v>-1874</v>
      </c>
      <c r="J151" s="157" t="n">
        <f aca="false">J25</f>
        <v>2393</v>
      </c>
      <c r="K151" s="157" t="n">
        <f aca="false">K25</f>
        <v>1781</v>
      </c>
      <c r="L151" s="157" t="n">
        <f aca="false">L25</f>
        <v>-558</v>
      </c>
      <c r="M151" s="157" t="n">
        <f aca="false">M25</f>
        <v>234</v>
      </c>
      <c r="N151" s="157" t="n">
        <f aca="false">N25</f>
        <v>1884</v>
      </c>
      <c r="O151" s="157" t="n">
        <f aca="false">O25</f>
        <v>-2829</v>
      </c>
      <c r="P151" s="157" t="n">
        <f aca="false">P25</f>
        <v>953</v>
      </c>
      <c r="Q151" s="157" t="n">
        <f aca="false">Q25</f>
        <v>441</v>
      </c>
      <c r="R151" s="157" t="n">
        <f aca="false">R25</f>
        <v>512</v>
      </c>
      <c r="S151" s="103"/>
      <c r="T151" s="157" t="n">
        <f aca="false">T25</f>
        <v>-192</v>
      </c>
      <c r="U151" s="157" t="n">
        <f aca="false">U25</f>
        <v>568</v>
      </c>
      <c r="V151" s="157" t="n">
        <f aca="false">V25</f>
        <v>-760</v>
      </c>
      <c r="W151" s="103"/>
      <c r="X151" s="103"/>
      <c r="Y151" s="103"/>
      <c r="Z151" s="103"/>
      <c r="AA151" s="103" t="str">
        <f aca="false">A151</f>
        <v>      Accrued Taxes, other than income</v>
      </c>
      <c r="AB151" s="157" t="n">
        <f aca="false">P151</f>
        <v>953</v>
      </c>
      <c r="AC151" s="157" t="n">
        <f aca="false">AC25</f>
        <v>1664</v>
      </c>
      <c r="AD151" s="130" t="n">
        <f aca="false">AB151-AC151</f>
        <v>-711</v>
      </c>
      <c r="AE151" s="103"/>
      <c r="AF151" s="130" t="n">
        <f aca="false">T151</f>
        <v>-192</v>
      </c>
      <c r="AG151" s="157" t="n">
        <f aca="false">AG25</f>
        <v>568</v>
      </c>
      <c r="AH151" s="130" t="n">
        <f aca="false">AF151-AG151</f>
        <v>-760</v>
      </c>
      <c r="AI151" s="103"/>
      <c r="AJ151" s="130" t="n">
        <f aca="false">AC151-AG151</f>
        <v>1096</v>
      </c>
      <c r="AK151" s="130" t="n">
        <f aca="false">AB151-AF151</f>
        <v>1145</v>
      </c>
      <c r="AL151" s="103"/>
      <c r="AM151" s="157" t="n">
        <f aca="false">AM25</f>
        <v>590</v>
      </c>
      <c r="AN151" s="130" t="n">
        <f aca="false">AB151-AM151</f>
        <v>363</v>
      </c>
      <c r="AO151" s="103"/>
      <c r="AP151" s="157" t="n">
        <f aca="false">AP25</f>
        <v>1301</v>
      </c>
      <c r="AQ151" s="130" t="n">
        <f aca="false">AC151-AP151</f>
        <v>363</v>
      </c>
      <c r="AR151" s="103"/>
      <c r="AS151" s="103"/>
      <c r="AT151" s="103"/>
      <c r="AU151" s="103"/>
    </row>
    <row r="152" customFormat="false" ht="12.75" hidden="false" customHeight="true" outlineLevel="0" collapsed="false">
      <c r="A152" s="132" t="s">
        <v>517</v>
      </c>
      <c r="B152" s="103"/>
      <c r="C152" s="103"/>
      <c r="D152" s="131" t="n">
        <v>0</v>
      </c>
      <c r="E152" s="131" t="n">
        <v>0</v>
      </c>
      <c r="F152" s="131" t="n">
        <v>0</v>
      </c>
      <c r="G152" s="131" t="n">
        <v>0</v>
      </c>
      <c r="H152" s="131" t="n">
        <v>0</v>
      </c>
      <c r="I152" s="131" t="n">
        <v>0</v>
      </c>
      <c r="J152" s="131" t="n">
        <v>0</v>
      </c>
      <c r="K152" s="131" t="n">
        <v>0</v>
      </c>
      <c r="L152" s="131" t="n">
        <v>0</v>
      </c>
      <c r="M152" s="131" t="n">
        <v>0</v>
      </c>
      <c r="N152" s="131" t="n">
        <v>0</v>
      </c>
      <c r="O152" s="131" t="n">
        <v>0</v>
      </c>
      <c r="P152" s="130" t="n">
        <f aca="false">SUM(D152:O152)</f>
        <v>0</v>
      </c>
      <c r="Q152" s="131" t="n">
        <f aca="false">SUM(D152:J152)</f>
        <v>0</v>
      </c>
      <c r="R152" s="130" t="n">
        <f aca="false">P152-Q152</f>
        <v>0</v>
      </c>
      <c r="S152" s="103"/>
      <c r="T152" s="131" t="n">
        <v>0</v>
      </c>
      <c r="U152" s="131" t="n">
        <v>0</v>
      </c>
      <c r="V152" s="130" t="n">
        <f aca="false">T152-U152</f>
        <v>0</v>
      </c>
      <c r="W152" s="103"/>
      <c r="X152" s="103"/>
      <c r="Y152" s="103"/>
      <c r="Z152" s="103"/>
      <c r="AA152" s="103" t="str">
        <f aca="false">A152</f>
        <v>      Tax Refunds / Payments</v>
      </c>
      <c r="AB152" s="157" t="n">
        <f aca="false">P152</f>
        <v>0</v>
      </c>
      <c r="AC152" s="131" t="n">
        <f aca="false">SUM(D152:L152)</f>
        <v>0</v>
      </c>
      <c r="AD152" s="130" t="n">
        <f aca="false">AB152-AC152</f>
        <v>0</v>
      </c>
      <c r="AE152" s="103"/>
      <c r="AF152" s="130" t="n">
        <f aca="false">T152</f>
        <v>0</v>
      </c>
      <c r="AG152" s="131" t="n">
        <v>0</v>
      </c>
      <c r="AH152" s="130" t="n">
        <f aca="false">AF152-AG152</f>
        <v>0</v>
      </c>
      <c r="AI152" s="103"/>
      <c r="AJ152" s="130" t="n">
        <f aca="false">AC152-AG152</f>
        <v>0</v>
      </c>
      <c r="AK152" s="130" t="n">
        <f aca="false">AB152-AF152</f>
        <v>0</v>
      </c>
      <c r="AL152" s="103"/>
      <c r="AM152" s="131" t="n">
        <v>0</v>
      </c>
      <c r="AN152" s="130" t="n">
        <f aca="false">AB152-AM152</f>
        <v>0</v>
      </c>
      <c r="AO152" s="103"/>
      <c r="AP152" s="131" t="n">
        <v>0</v>
      </c>
      <c r="AQ152" s="130" t="n">
        <f aca="false">AC152-AP152</f>
        <v>0</v>
      </c>
      <c r="AR152" s="103"/>
      <c r="AS152" s="103"/>
      <c r="AT152" s="103"/>
      <c r="AU152" s="103"/>
    </row>
    <row r="153" customFormat="false" ht="12.75" hidden="false" customHeight="true" outlineLevel="0" collapsed="false">
      <c r="A153" s="132" t="s">
        <v>544</v>
      </c>
      <c r="B153" s="103"/>
      <c r="C153" s="103"/>
      <c r="D153" s="159" t="n">
        <f aca="false">D17+D23+D26</f>
        <v>4103</v>
      </c>
      <c r="E153" s="159" t="n">
        <f aca="false">E17+E23+E26</f>
        <v>-11219</v>
      </c>
      <c r="F153" s="159" t="n">
        <f aca="false">F17+F23+F26</f>
        <v>6362</v>
      </c>
      <c r="G153" s="159" t="n">
        <f aca="false">G17+G23+G26</f>
        <v>-1327</v>
      </c>
      <c r="H153" s="159" t="n">
        <f aca="false">H17+H23+H26</f>
        <v>-2413</v>
      </c>
      <c r="I153" s="159" t="n">
        <f aca="false">I17+I23+I26</f>
        <v>926</v>
      </c>
      <c r="J153" s="159" t="n">
        <f aca="false">J17+J23+J26</f>
        <v>-2671</v>
      </c>
      <c r="K153" s="159" t="n">
        <f aca="false">K17+K23+K26</f>
        <v>485</v>
      </c>
      <c r="L153" s="159" t="n">
        <f aca="false">L17+L23+L26</f>
        <v>-2382</v>
      </c>
      <c r="M153" s="159" t="n">
        <f aca="false">M17+M23+M26</f>
        <v>596</v>
      </c>
      <c r="N153" s="159" t="n">
        <f aca="false">N17+N23+N26</f>
        <v>1096</v>
      </c>
      <c r="O153" s="159" t="n">
        <f aca="false">O17+O23+O26</f>
        <v>-10733</v>
      </c>
      <c r="P153" s="159" t="n">
        <f aca="false">P17+P23+P26</f>
        <v>-17177</v>
      </c>
      <c r="Q153" s="159" t="n">
        <f aca="false">Q17+Q23+Q26</f>
        <v>-6239</v>
      </c>
      <c r="R153" s="159" t="n">
        <f aca="false">R17+R23+R26</f>
        <v>-10938</v>
      </c>
      <c r="S153" s="103"/>
      <c r="T153" s="159" t="n">
        <f aca="false">T17+T23+T26</f>
        <v>-7993</v>
      </c>
      <c r="U153" s="159" t="n">
        <f aca="false">U17+U23+U26</f>
        <v>269</v>
      </c>
      <c r="V153" s="159" t="n">
        <f aca="false">V17+V23+V26</f>
        <v>-8262</v>
      </c>
      <c r="W153" s="103"/>
      <c r="X153" s="103"/>
      <c r="Y153" s="103"/>
      <c r="Z153" s="103"/>
      <c r="AA153" s="103" t="str">
        <f aca="false">A153</f>
        <v>      Other (Including Inventory and Prepayments)</v>
      </c>
      <c r="AB153" s="159" t="n">
        <f aca="false">P153</f>
        <v>-17177</v>
      </c>
      <c r="AC153" s="159" t="n">
        <f aca="false">AC17+AC23+AC26</f>
        <v>-8136</v>
      </c>
      <c r="AD153" s="143" t="n">
        <f aca="false">AB153-AC153</f>
        <v>-9041</v>
      </c>
      <c r="AE153" s="160"/>
      <c r="AF153" s="143" t="n">
        <f aca="false">T153</f>
        <v>-7993</v>
      </c>
      <c r="AG153" s="159" t="n">
        <f aca="false">AG17+AG23+AG26</f>
        <v>269</v>
      </c>
      <c r="AH153" s="143" t="n">
        <f aca="false">AF153-AG153</f>
        <v>-8262</v>
      </c>
      <c r="AI153" s="103"/>
      <c r="AJ153" s="143" t="n">
        <f aca="false">AC153-AG153</f>
        <v>-8405</v>
      </c>
      <c r="AK153" s="143" t="n">
        <f aca="false">AB153-AF153</f>
        <v>-9184</v>
      </c>
      <c r="AL153" s="103"/>
      <c r="AM153" s="159" t="n">
        <f aca="false">AM17+AM23+AM26</f>
        <v>-13892</v>
      </c>
      <c r="AN153" s="143" t="n">
        <f aca="false">AB153-AM153</f>
        <v>-3285</v>
      </c>
      <c r="AO153" s="103"/>
      <c r="AP153" s="159" t="n">
        <f aca="false">AP17+AP23+AP26</f>
        <v>-5091</v>
      </c>
      <c r="AQ153" s="143" t="n">
        <f aca="false">AC153-AP153</f>
        <v>-3045</v>
      </c>
      <c r="AR153" s="103"/>
      <c r="AS153" s="103"/>
      <c r="AT153" s="103"/>
      <c r="AU153" s="103"/>
    </row>
    <row r="154" customFormat="false" ht="3.95" hidden="false" customHeight="true" outlineLevel="0" collapsed="false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0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</row>
    <row r="155" customFormat="false" ht="12.75" hidden="false" customHeight="true" outlineLevel="0" collapsed="false">
      <c r="A155" s="132" t="s">
        <v>545</v>
      </c>
      <c r="B155" s="103"/>
      <c r="C155" s="103"/>
      <c r="D155" s="159" t="n">
        <f aca="false">SUM(D146:D153)</f>
        <v>52965</v>
      </c>
      <c r="E155" s="159" t="n">
        <f aca="false">SUM(E146:E153)</f>
        <v>-44067</v>
      </c>
      <c r="F155" s="159" t="n">
        <f aca="false">SUM(F146:F153)</f>
        <v>-6731</v>
      </c>
      <c r="G155" s="159" t="n">
        <f aca="false">SUM(G146:G153)</f>
        <v>12272</v>
      </c>
      <c r="H155" s="159" t="n">
        <f aca="false">SUM(H146:H153)</f>
        <v>218</v>
      </c>
      <c r="I155" s="159" t="n">
        <f aca="false">SUM(I146:I153)</f>
        <v>-17032</v>
      </c>
      <c r="J155" s="159" t="n">
        <f aca="false">SUM(J146:J153)</f>
        <v>5381</v>
      </c>
      <c r="K155" s="159" t="n">
        <f aca="false">SUM(K146:K153)</f>
        <v>8364</v>
      </c>
      <c r="L155" s="159" t="n">
        <f aca="false">SUM(L146:L153)</f>
        <v>-1428</v>
      </c>
      <c r="M155" s="159" t="n">
        <f aca="false">SUM(M146:M153)</f>
        <v>329</v>
      </c>
      <c r="N155" s="159" t="n">
        <f aca="false">SUM(N146:N153)</f>
        <v>-32511</v>
      </c>
      <c r="O155" s="159" t="n">
        <f aca="false">SUM(O146:O153)</f>
        <v>-21766</v>
      </c>
      <c r="P155" s="159" t="n">
        <f aca="false">SUM(P146:P153)</f>
        <v>-44006</v>
      </c>
      <c r="Q155" s="159" t="n">
        <f aca="false">SUM(Q146:Q153)</f>
        <v>3006</v>
      </c>
      <c r="R155" s="159" t="n">
        <f aca="false">SUM(R146:R153)</f>
        <v>-47012</v>
      </c>
      <c r="S155" s="103"/>
      <c r="T155" s="159" t="n">
        <f aca="false">SUM(T146:T153)</f>
        <v>-21109</v>
      </c>
      <c r="U155" s="159" t="n">
        <f aca="false">SUM(U146:U153)</f>
        <v>20466</v>
      </c>
      <c r="V155" s="159" t="n">
        <f aca="false">SUM(V146:V153)</f>
        <v>-41575</v>
      </c>
      <c r="W155" s="103"/>
      <c r="X155" s="103"/>
      <c r="Y155" s="103"/>
      <c r="Z155" s="103"/>
      <c r="AA155" s="103" t="str">
        <f aca="false">A155</f>
        <v>            Total Working Capital Changes</v>
      </c>
      <c r="AB155" s="159" t="n">
        <f aca="false">SUM(AB146:AB153)</f>
        <v>-44006</v>
      </c>
      <c r="AC155" s="159" t="n">
        <f aca="false">SUM(AC146:AC153)</f>
        <v>9942</v>
      </c>
      <c r="AD155" s="159" t="n">
        <f aca="false">SUM(AD146:AD153)</f>
        <v>-53948</v>
      </c>
      <c r="AE155" s="103"/>
      <c r="AF155" s="159" t="n">
        <f aca="false">SUM(AF146:AF153)</f>
        <v>-21109</v>
      </c>
      <c r="AG155" s="159" t="n">
        <f aca="false">SUM(AG146:AG153)</f>
        <v>20466</v>
      </c>
      <c r="AH155" s="159" t="n">
        <f aca="false">SUM(AH146:AH153)</f>
        <v>-41575</v>
      </c>
      <c r="AI155" s="103"/>
      <c r="AJ155" s="159" t="n">
        <f aca="false">SUM(AJ146:AJ153)</f>
        <v>-10524</v>
      </c>
      <c r="AK155" s="159" t="n">
        <f aca="false">SUM(AK146:AK153)</f>
        <v>-22897</v>
      </c>
      <c r="AL155" s="103"/>
      <c r="AM155" s="159" t="n">
        <f aca="false">SUM(AM146:AM153)</f>
        <v>-35721</v>
      </c>
      <c r="AN155" s="159" t="n">
        <f aca="false">SUM(AN146:AN153)</f>
        <v>-8285</v>
      </c>
      <c r="AO155" s="103"/>
      <c r="AP155" s="159" t="n">
        <f aca="false">SUM(AP146:AP153)</f>
        <v>14102</v>
      </c>
      <c r="AQ155" s="159" t="n">
        <f aca="false">SUM(AQ146:AQ153)</f>
        <v>-4160</v>
      </c>
      <c r="AR155" s="103"/>
      <c r="AS155" s="103"/>
      <c r="AT155" s="103"/>
      <c r="AU155" s="103"/>
    </row>
    <row r="156" customFormat="false" ht="6" hidden="false" customHeight="true" outlineLevel="0" collapsed="false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0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</row>
    <row r="157" customFormat="false" ht="12.75" hidden="false" customHeight="true" outlineLevel="0" collapsed="false">
      <c r="A157" s="132" t="s">
        <v>546</v>
      </c>
      <c r="B157" s="103"/>
      <c r="C157" s="103"/>
      <c r="D157" s="157" t="n">
        <f aca="false">D143+D155</f>
        <v>77455</v>
      </c>
      <c r="E157" s="157" t="n">
        <f aca="false">E143+E155</f>
        <v>-18821</v>
      </c>
      <c r="F157" s="157" t="n">
        <f aca="false">F143+F155</f>
        <v>10798</v>
      </c>
      <c r="G157" s="157" t="n">
        <f aca="false">G143+G155</f>
        <v>42462</v>
      </c>
      <c r="H157" s="157" t="n">
        <f aca="false">H143+H155</f>
        <v>10769</v>
      </c>
      <c r="I157" s="157" t="n">
        <f aca="false">I143+I155</f>
        <v>-8028</v>
      </c>
      <c r="J157" s="157" t="n">
        <f aca="false">J143+J155</f>
        <v>14242</v>
      </c>
      <c r="K157" s="157" t="n">
        <f aca="false">K143+K155</f>
        <v>19945</v>
      </c>
      <c r="L157" s="157" t="n">
        <f aca="false">L143+L155</f>
        <v>6000</v>
      </c>
      <c r="M157" s="157" t="n">
        <f aca="false">M143+M155</f>
        <v>-7639</v>
      </c>
      <c r="N157" s="157" t="n">
        <f aca="false">N143+N155</f>
        <v>-13041</v>
      </c>
      <c r="O157" s="157" t="n">
        <f aca="false">O143+O155</f>
        <v>-12030</v>
      </c>
      <c r="P157" s="157" t="n">
        <f aca="false">P143+P155</f>
        <v>122112</v>
      </c>
      <c r="Q157" s="157" t="n">
        <f aca="false">Q143+Q155</f>
        <v>128877</v>
      </c>
      <c r="R157" s="157" t="n">
        <f aca="false">R143+R155</f>
        <v>-6765</v>
      </c>
      <c r="S157" s="103"/>
      <c r="T157" s="157" t="n">
        <f aca="false">T143+T155</f>
        <v>121900</v>
      </c>
      <c r="U157" s="157" t="n">
        <f aca="false">U143+U155</f>
        <v>117000</v>
      </c>
      <c r="V157" s="157" t="n">
        <f aca="false">V143+V155</f>
        <v>4900</v>
      </c>
      <c r="W157" s="103"/>
      <c r="X157" s="103"/>
      <c r="Y157" s="103"/>
      <c r="Z157" s="103"/>
      <c r="AA157" s="100" t="str">
        <f aca="false">A157</f>
        <v>TOTAL CASH FLOW FROM OPERATING ACTIVITIES</v>
      </c>
      <c r="AB157" s="157" t="n">
        <f aca="false">AB143+AB155</f>
        <v>122112</v>
      </c>
      <c r="AC157" s="157" t="n">
        <f aca="false">AC143+AC155</f>
        <v>154822</v>
      </c>
      <c r="AD157" s="157" t="n">
        <f aca="false">AD143+AD155</f>
        <v>-32710</v>
      </c>
      <c r="AE157" s="103"/>
      <c r="AF157" s="157" t="n">
        <f aca="false">AF143+AF155</f>
        <v>121900</v>
      </c>
      <c r="AG157" s="157" t="n">
        <f aca="false">AG143+AG155</f>
        <v>117000</v>
      </c>
      <c r="AH157" s="157" t="n">
        <f aca="false">AH143+AH155</f>
        <v>4900</v>
      </c>
      <c r="AI157" s="103"/>
      <c r="AJ157" s="157" t="n">
        <f aca="false">AJ143+AJ155</f>
        <v>37822</v>
      </c>
      <c r="AK157" s="157" t="n">
        <f aca="false">AK143+AK155</f>
        <v>212</v>
      </c>
      <c r="AL157" s="103"/>
      <c r="AM157" s="157" t="n">
        <f aca="false">AM143+AM155</f>
        <v>117924</v>
      </c>
      <c r="AN157" s="157" t="n">
        <f aca="false">AN143+AN155</f>
        <v>4188</v>
      </c>
      <c r="AO157" s="103"/>
      <c r="AP157" s="157" t="n">
        <f aca="false">AP143+AP155</f>
        <v>149315</v>
      </c>
      <c r="AQ157" s="157" t="n">
        <f aca="false">AQ143+AQ155</f>
        <v>5507</v>
      </c>
      <c r="AR157" s="103"/>
      <c r="AS157" s="103"/>
      <c r="AT157" s="103"/>
      <c r="AU157" s="103"/>
    </row>
    <row r="158" customFormat="false" ht="6" hidden="false" customHeight="true" outlineLevel="0" collapsed="false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0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</row>
    <row r="159" customFormat="false" ht="12.75" hidden="false" customHeight="true" outlineLevel="0" collapsed="false">
      <c r="A159" s="103" t="str">
        <f aca="false">A38</f>
        <v>CASH FLOW FROM INVESTING ACTIVITIES</v>
      </c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 t="str">
        <f aca="false">A159</f>
        <v>CASH FLOW FROM INVESTING ACTIVITIES</v>
      </c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</row>
    <row r="160" customFormat="false" ht="12.75" hidden="false" customHeight="true" outlineLevel="0" collapsed="false">
      <c r="A160" s="103" t="str">
        <f aca="false">A39</f>
        <v>   Proceeds from Sale (Various)</v>
      </c>
      <c r="B160" s="103"/>
      <c r="C160" s="103"/>
      <c r="D160" s="157" t="n">
        <f aca="false">D39</f>
        <v>0</v>
      </c>
      <c r="E160" s="157" t="n">
        <f aca="false">E39</f>
        <v>0</v>
      </c>
      <c r="F160" s="157" t="n">
        <f aca="false">F39</f>
        <v>0</v>
      </c>
      <c r="G160" s="157" t="n">
        <f aca="false">G39</f>
        <v>0</v>
      </c>
      <c r="H160" s="157" t="n">
        <f aca="false">H39</f>
        <v>0</v>
      </c>
      <c r="I160" s="157" t="n">
        <f aca="false">I39</f>
        <v>3353</v>
      </c>
      <c r="J160" s="157" t="n">
        <f aca="false">J39</f>
        <v>0</v>
      </c>
      <c r="K160" s="157" t="n">
        <f aca="false">K39</f>
        <v>0</v>
      </c>
      <c r="L160" s="157" t="n">
        <f aca="false">L39</f>
        <v>0</v>
      </c>
      <c r="M160" s="157" t="n">
        <f aca="false">M39</f>
        <v>0</v>
      </c>
      <c r="N160" s="157" t="n">
        <f aca="false">N39</f>
        <v>0</v>
      </c>
      <c r="O160" s="157" t="n">
        <f aca="false">O39</f>
        <v>2300</v>
      </c>
      <c r="P160" s="157" t="n">
        <f aca="false">P39</f>
        <v>5653</v>
      </c>
      <c r="Q160" s="157" t="n">
        <f aca="false">Q39</f>
        <v>3353</v>
      </c>
      <c r="R160" s="157" t="n">
        <f aca="false">R39</f>
        <v>2300</v>
      </c>
      <c r="S160" s="103"/>
      <c r="T160" s="157" t="n">
        <f aca="false">T39</f>
        <v>7500</v>
      </c>
      <c r="U160" s="157" t="n">
        <f aca="false">U39</f>
        <v>7500</v>
      </c>
      <c r="V160" s="157" t="n">
        <f aca="false">V39</f>
        <v>0</v>
      </c>
      <c r="W160" s="103"/>
      <c r="X160" s="103"/>
      <c r="Y160" s="103"/>
      <c r="Z160" s="103"/>
      <c r="AA160" s="103" t="str">
        <f aca="false">A160</f>
        <v>   Proceeds from Sale (Various)</v>
      </c>
      <c r="AB160" s="157" t="n">
        <f aca="false">P160</f>
        <v>5653</v>
      </c>
      <c r="AC160" s="157" t="n">
        <f aca="false">AC39</f>
        <v>3353</v>
      </c>
      <c r="AD160" s="130" t="n">
        <f aca="false">AB160-AC160</f>
        <v>2300</v>
      </c>
      <c r="AE160" s="103"/>
      <c r="AF160" s="130" t="n">
        <f aca="false">T160</f>
        <v>7500</v>
      </c>
      <c r="AG160" s="157" t="n">
        <f aca="false">AG39</f>
        <v>7500</v>
      </c>
      <c r="AH160" s="130" t="n">
        <f aca="false">AF160-AG160</f>
        <v>0</v>
      </c>
      <c r="AI160" s="103"/>
      <c r="AJ160" s="130" t="n">
        <f aca="false">AC160-AG160</f>
        <v>-4147</v>
      </c>
      <c r="AK160" s="130" t="n">
        <f aca="false">AB160-AF160</f>
        <v>-1847</v>
      </c>
      <c r="AL160" s="103"/>
      <c r="AM160" s="157" t="n">
        <f aca="false">AM39</f>
        <v>11500</v>
      </c>
      <c r="AN160" s="130" t="n">
        <f aca="false">AB160-AM160</f>
        <v>-5847</v>
      </c>
      <c r="AO160" s="103"/>
      <c r="AP160" s="157" t="n">
        <f aca="false">AP39</f>
        <v>3400</v>
      </c>
      <c r="AQ160" s="130" t="n">
        <f aca="false">AC160-AP160</f>
        <v>-47</v>
      </c>
      <c r="AR160" s="103"/>
      <c r="AS160" s="103"/>
      <c r="AT160" s="103"/>
      <c r="AU160" s="103"/>
    </row>
    <row r="161" customFormat="false" ht="12.75" hidden="false" customHeight="true" outlineLevel="0" collapsed="false">
      <c r="A161" s="103" t="str">
        <f aca="false">A40</f>
        <v>   Additions to Property </v>
      </c>
      <c r="B161" s="103"/>
      <c r="C161" s="103"/>
      <c r="D161" s="157" t="n">
        <f aca="false">D40</f>
        <v>-280</v>
      </c>
      <c r="E161" s="157" t="n">
        <f aca="false">E40</f>
        <v>861</v>
      </c>
      <c r="F161" s="157" t="n">
        <f aca="false">F40</f>
        <v>-3798</v>
      </c>
      <c r="G161" s="157" t="n">
        <f aca="false">G40</f>
        <v>-4249</v>
      </c>
      <c r="H161" s="157" t="n">
        <f aca="false">H40</f>
        <v>-3725</v>
      </c>
      <c r="I161" s="157" t="n">
        <f aca="false">I40</f>
        <v>-932</v>
      </c>
      <c r="J161" s="157" t="n">
        <f aca="false">J40</f>
        <v>-5769</v>
      </c>
      <c r="K161" s="157" t="n">
        <f aca="false">K40</f>
        <v>-10518</v>
      </c>
      <c r="L161" s="157" t="n">
        <f aca="false">L40</f>
        <v>-11400</v>
      </c>
      <c r="M161" s="157" t="n">
        <f aca="false">M40</f>
        <v>-12961</v>
      </c>
      <c r="N161" s="157" t="n">
        <f aca="false">N40</f>
        <v>-12959</v>
      </c>
      <c r="O161" s="157" t="n">
        <f aca="false">O40</f>
        <v>-8570</v>
      </c>
      <c r="P161" s="157" t="n">
        <f aca="false">P40</f>
        <v>-74300</v>
      </c>
      <c r="Q161" s="157" t="n">
        <f aca="false">Q40</f>
        <v>-17892</v>
      </c>
      <c r="R161" s="157" t="n">
        <f aca="false">R40</f>
        <v>-56408</v>
      </c>
      <c r="S161" s="103"/>
      <c r="T161" s="157" t="n">
        <f aca="false">T40</f>
        <v>-83700</v>
      </c>
      <c r="U161" s="157" t="n">
        <f aca="false">U40</f>
        <v>-67600</v>
      </c>
      <c r="V161" s="157" t="n">
        <f aca="false">V40</f>
        <v>-16100</v>
      </c>
      <c r="W161" s="103"/>
      <c r="X161" s="103"/>
      <c r="Y161" s="103"/>
      <c r="Z161" s="103"/>
      <c r="AA161" s="103" t="str">
        <f aca="false">A161</f>
        <v>   Additions to Property </v>
      </c>
      <c r="AB161" s="157" t="n">
        <f aca="false">P161</f>
        <v>-74300</v>
      </c>
      <c r="AC161" s="157" t="n">
        <f aca="false">AC40</f>
        <v>-39810</v>
      </c>
      <c r="AD161" s="130" t="n">
        <f aca="false">AB161-AC161</f>
        <v>-34490</v>
      </c>
      <c r="AE161" s="103"/>
      <c r="AF161" s="130" t="n">
        <f aca="false">T161</f>
        <v>-83700</v>
      </c>
      <c r="AG161" s="157" t="n">
        <f aca="false">AG40</f>
        <v>-67600</v>
      </c>
      <c r="AH161" s="130" t="n">
        <f aca="false">AF161-AG161</f>
        <v>-16100</v>
      </c>
      <c r="AI161" s="103"/>
      <c r="AJ161" s="130" t="n">
        <f aca="false">AC161-AG161</f>
        <v>27790</v>
      </c>
      <c r="AK161" s="130" t="n">
        <f aca="false">AB161-AF161</f>
        <v>9400</v>
      </c>
      <c r="AL161" s="103"/>
      <c r="AM161" s="157" t="n">
        <f aca="false">AM40</f>
        <v>-83700</v>
      </c>
      <c r="AN161" s="130" t="n">
        <f aca="false">AB161-AM161</f>
        <v>9400</v>
      </c>
      <c r="AO161" s="103"/>
      <c r="AP161" s="157" t="n">
        <f aca="false">AP40</f>
        <v>-46941</v>
      </c>
      <c r="AQ161" s="130" t="n">
        <f aca="false">AC161-AP161</f>
        <v>7131</v>
      </c>
      <c r="AR161" s="103"/>
      <c r="AS161" s="103"/>
      <c r="AT161" s="103"/>
      <c r="AU161" s="103"/>
    </row>
    <row r="162" customFormat="false" ht="12.75" hidden="false" customHeight="true" outlineLevel="0" collapsed="false">
      <c r="A162" s="103" t="str">
        <f aca="false">A41</f>
        <v>   Other Capital Expenditures</v>
      </c>
      <c r="B162" s="103"/>
      <c r="C162" s="103"/>
      <c r="D162" s="157" t="n">
        <f aca="false">D41</f>
        <v>-45815</v>
      </c>
      <c r="E162" s="157" t="n">
        <f aca="false">E41</f>
        <v>-11147</v>
      </c>
      <c r="F162" s="157" t="n">
        <f aca="false">F41</f>
        <v>1541</v>
      </c>
      <c r="G162" s="157" t="n">
        <f aca="false">G41</f>
        <v>9352</v>
      </c>
      <c r="H162" s="157" t="n">
        <f aca="false">H41</f>
        <v>4793</v>
      </c>
      <c r="I162" s="157" t="n">
        <f aca="false">I41</f>
        <v>4071</v>
      </c>
      <c r="J162" s="157" t="n">
        <f aca="false">J41</f>
        <v>3220</v>
      </c>
      <c r="K162" s="157" t="n">
        <f aca="false">K41</f>
        <v>2022</v>
      </c>
      <c r="L162" s="157" t="n">
        <f aca="false">L41</f>
        <v>-0</v>
      </c>
      <c r="M162" s="157" t="n">
        <f aca="false">M41</f>
        <v>4000</v>
      </c>
      <c r="N162" s="157" t="n">
        <f aca="false">N41</f>
        <v>4000</v>
      </c>
      <c r="O162" s="157" t="n">
        <f aca="false">O41</f>
        <v>4000</v>
      </c>
      <c r="P162" s="157" t="n">
        <f aca="false">P41</f>
        <v>-19963</v>
      </c>
      <c r="Q162" s="157" t="n">
        <f aca="false">Q41</f>
        <v>-33985</v>
      </c>
      <c r="R162" s="157" t="n">
        <f aca="false">R41</f>
        <v>14022</v>
      </c>
      <c r="S162" s="103"/>
      <c r="T162" s="157" t="n">
        <f aca="false">T41</f>
        <v>-7000</v>
      </c>
      <c r="U162" s="157" t="n">
        <f aca="false">U41</f>
        <v>-10000</v>
      </c>
      <c r="V162" s="157" t="n">
        <f aca="false">V41</f>
        <v>3000</v>
      </c>
      <c r="W162" s="103"/>
      <c r="X162" s="103"/>
      <c r="Y162" s="103"/>
      <c r="Z162" s="103"/>
      <c r="AA162" s="103" t="str">
        <f aca="false">A162</f>
        <v>   Other Capital Expenditures</v>
      </c>
      <c r="AB162" s="157" t="n">
        <f aca="false">P162</f>
        <v>-19963</v>
      </c>
      <c r="AC162" s="157" t="n">
        <f aca="false">AC41</f>
        <v>-31963</v>
      </c>
      <c r="AD162" s="130" t="n">
        <f aca="false">AB162-AC162</f>
        <v>12000</v>
      </c>
      <c r="AE162" s="103"/>
      <c r="AF162" s="130" t="n">
        <f aca="false">T162</f>
        <v>-7000</v>
      </c>
      <c r="AG162" s="157" t="n">
        <f aca="false">AG41</f>
        <v>-10000</v>
      </c>
      <c r="AH162" s="130" t="n">
        <f aca="false">AF162-AG162</f>
        <v>3000</v>
      </c>
      <c r="AI162" s="103"/>
      <c r="AJ162" s="130" t="n">
        <f aca="false">AC162-AG162</f>
        <v>-21963</v>
      </c>
      <c r="AK162" s="130" t="n">
        <f aca="false">AB162-AF162</f>
        <v>-12963</v>
      </c>
      <c r="AL162" s="103"/>
      <c r="AM162" s="157" t="n">
        <f aca="false">AM41</f>
        <v>-25205</v>
      </c>
      <c r="AN162" s="130" t="n">
        <f aca="false">AB162-AM162</f>
        <v>5242</v>
      </c>
      <c r="AO162" s="103"/>
      <c r="AP162" s="157" t="n">
        <f aca="false">AP41</f>
        <v>-37205</v>
      </c>
      <c r="AQ162" s="130" t="n">
        <f aca="false">AC162-AP162</f>
        <v>5242</v>
      </c>
      <c r="AR162" s="103"/>
      <c r="AS162" s="103"/>
      <c r="AT162" s="103"/>
      <c r="AU162" s="103"/>
    </row>
    <row r="163" customFormat="false" ht="12.75" hidden="false" customHeight="true" outlineLevel="0" collapsed="false">
      <c r="A163" s="103" t="str">
        <f aca="false">A42</f>
        <v>   Other Investments (McDay Energy / Misc.)</v>
      </c>
      <c r="B163" s="103"/>
      <c r="C163" s="103"/>
      <c r="D163" s="157" t="n">
        <f aca="false">D42</f>
        <v>-0</v>
      </c>
      <c r="E163" s="157" t="n">
        <f aca="false">E42</f>
        <v>-0</v>
      </c>
      <c r="F163" s="157" t="n">
        <f aca="false">F42</f>
        <v>-0</v>
      </c>
      <c r="G163" s="157" t="n">
        <f aca="false">G42</f>
        <v>-0</v>
      </c>
      <c r="H163" s="157" t="n">
        <f aca="false">H42</f>
        <v>-0</v>
      </c>
      <c r="I163" s="157" t="n">
        <f aca="false">I42</f>
        <v>-0</v>
      </c>
      <c r="J163" s="157" t="n">
        <f aca="false">J42</f>
        <v>-0</v>
      </c>
      <c r="K163" s="157" t="n">
        <f aca="false">K42</f>
        <v>-0</v>
      </c>
      <c r="L163" s="157" t="n">
        <f aca="false">L42</f>
        <v>-0</v>
      </c>
      <c r="M163" s="157" t="n">
        <f aca="false">M42</f>
        <v>-0</v>
      </c>
      <c r="N163" s="157" t="n">
        <f aca="false">N42</f>
        <v>-0</v>
      </c>
      <c r="O163" s="157" t="n">
        <f aca="false">O42</f>
        <v>-0</v>
      </c>
      <c r="P163" s="157" t="n">
        <f aca="false">P42</f>
        <v>0</v>
      </c>
      <c r="Q163" s="157" t="n">
        <f aca="false">Q42</f>
        <v>0</v>
      </c>
      <c r="R163" s="157" t="n">
        <f aca="false">R42</f>
        <v>0</v>
      </c>
      <c r="S163" s="103"/>
      <c r="T163" s="157" t="n">
        <f aca="false">T42</f>
        <v>0</v>
      </c>
      <c r="U163" s="157" t="n">
        <f aca="false">U42</f>
        <v>0</v>
      </c>
      <c r="V163" s="157" t="n">
        <f aca="false">V42</f>
        <v>0</v>
      </c>
      <c r="W163" s="103"/>
      <c r="X163" s="103"/>
      <c r="Y163" s="103"/>
      <c r="Z163" s="103"/>
      <c r="AA163" s="103" t="str">
        <f aca="false">A163</f>
        <v>   Other Investments (McDay Energy / Misc.)</v>
      </c>
      <c r="AB163" s="157" t="n">
        <f aca="false">P163</f>
        <v>0</v>
      </c>
      <c r="AC163" s="157" t="n">
        <f aca="false">AC42</f>
        <v>0</v>
      </c>
      <c r="AD163" s="130" t="n">
        <f aca="false">AB163-AC163</f>
        <v>0</v>
      </c>
      <c r="AE163" s="103"/>
      <c r="AF163" s="130" t="n">
        <f aca="false">T163</f>
        <v>0</v>
      </c>
      <c r="AG163" s="157" t="n">
        <f aca="false">AG42</f>
        <v>0</v>
      </c>
      <c r="AH163" s="130" t="n">
        <f aca="false">AF163-AG163</f>
        <v>0</v>
      </c>
      <c r="AI163" s="103"/>
      <c r="AJ163" s="130" t="n">
        <f aca="false">AC163-AG163</f>
        <v>0</v>
      </c>
      <c r="AK163" s="130" t="n">
        <f aca="false">AB163-AF163</f>
        <v>0</v>
      </c>
      <c r="AL163" s="103"/>
      <c r="AM163" s="157" t="n">
        <f aca="false">AM42</f>
        <v>0</v>
      </c>
      <c r="AN163" s="130" t="n">
        <f aca="false">AB163-AM163</f>
        <v>0</v>
      </c>
      <c r="AO163" s="103"/>
      <c r="AP163" s="157" t="n">
        <f aca="false">AP42</f>
        <v>0</v>
      </c>
      <c r="AQ163" s="130" t="n">
        <f aca="false">AC163-AP163</f>
        <v>0</v>
      </c>
      <c r="AR163" s="103"/>
      <c r="AS163" s="103"/>
      <c r="AT163" s="103"/>
      <c r="AU163" s="103"/>
    </row>
    <row r="164" customFormat="false" ht="12.75" hidden="false" customHeight="true" outlineLevel="0" collapsed="false">
      <c r="A164" s="103" t="str">
        <f aca="false">A43</f>
        <v>   Other (Net Salvage &amp; Removal)</v>
      </c>
      <c r="B164" s="103"/>
      <c r="C164" s="103"/>
      <c r="D164" s="159" t="n">
        <f aca="false">D43</f>
        <v>4</v>
      </c>
      <c r="E164" s="159" t="n">
        <f aca="false">E43</f>
        <v>11</v>
      </c>
      <c r="F164" s="159" t="n">
        <f aca="false">F43</f>
        <v>-247</v>
      </c>
      <c r="G164" s="159" t="n">
        <f aca="false">G43</f>
        <v>-108</v>
      </c>
      <c r="H164" s="159" t="n">
        <f aca="false">H43</f>
        <v>1508</v>
      </c>
      <c r="I164" s="159" t="n">
        <f aca="false">I43</f>
        <v>-2197</v>
      </c>
      <c r="J164" s="159" t="n">
        <f aca="false">J43</f>
        <v>8</v>
      </c>
      <c r="K164" s="159" t="n">
        <f aca="false">K43</f>
        <v>0</v>
      </c>
      <c r="L164" s="159" t="n">
        <f aca="false">L43</f>
        <v>0</v>
      </c>
      <c r="M164" s="159" t="n">
        <f aca="false">M43</f>
        <v>0</v>
      </c>
      <c r="N164" s="159" t="n">
        <f aca="false">N43</f>
        <v>0</v>
      </c>
      <c r="O164" s="159" t="n">
        <f aca="false">O43</f>
        <v>0</v>
      </c>
      <c r="P164" s="159" t="n">
        <f aca="false">P43</f>
        <v>-1021</v>
      </c>
      <c r="Q164" s="159" t="n">
        <f aca="false">Q43</f>
        <v>-1021</v>
      </c>
      <c r="R164" s="159" t="n">
        <f aca="false">R43</f>
        <v>0</v>
      </c>
      <c r="S164" s="103"/>
      <c r="T164" s="159" t="n">
        <f aca="false">T43</f>
        <v>0</v>
      </c>
      <c r="U164" s="159" t="n">
        <f aca="false">U43</f>
        <v>0</v>
      </c>
      <c r="V164" s="159" t="n">
        <f aca="false">V43</f>
        <v>0</v>
      </c>
      <c r="W164" s="103"/>
      <c r="X164" s="103"/>
      <c r="Y164" s="103"/>
      <c r="Z164" s="103"/>
      <c r="AA164" s="103" t="str">
        <f aca="false">A164</f>
        <v>   Other (Net Salvage &amp; Removal)</v>
      </c>
      <c r="AB164" s="159" t="n">
        <f aca="false">P164</f>
        <v>-1021</v>
      </c>
      <c r="AC164" s="159" t="n">
        <f aca="false">AC43</f>
        <v>-1021</v>
      </c>
      <c r="AD164" s="143" t="n">
        <f aca="false">AB164-AC164</f>
        <v>0</v>
      </c>
      <c r="AE164" s="160"/>
      <c r="AF164" s="143" t="n">
        <f aca="false">T164</f>
        <v>0</v>
      </c>
      <c r="AG164" s="159" t="n">
        <f aca="false">AG43</f>
        <v>0</v>
      </c>
      <c r="AH164" s="143" t="n">
        <f aca="false">AF164-AG164</f>
        <v>0</v>
      </c>
      <c r="AI164" s="103"/>
      <c r="AJ164" s="143" t="n">
        <f aca="false">AC164-AG164</f>
        <v>-1021</v>
      </c>
      <c r="AK164" s="143" t="n">
        <f aca="false">AB164-AF164</f>
        <v>-1021</v>
      </c>
      <c r="AL164" s="103"/>
      <c r="AM164" s="159" t="n">
        <f aca="false">AM43</f>
        <v>-1030</v>
      </c>
      <c r="AN164" s="143" t="n">
        <f aca="false">AB164-AM164</f>
        <v>9</v>
      </c>
      <c r="AO164" s="103"/>
      <c r="AP164" s="159" t="n">
        <f aca="false">AP43</f>
        <v>-1030</v>
      </c>
      <c r="AQ164" s="143" t="n">
        <f aca="false">AC164-AP164</f>
        <v>9</v>
      </c>
      <c r="AR164" s="103"/>
      <c r="AS164" s="103"/>
      <c r="AT164" s="103"/>
      <c r="AU164" s="103"/>
    </row>
    <row r="165" customFormat="false" ht="3.95" hidden="false" customHeight="true" outlineLevel="0" collapsed="false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0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</row>
    <row r="166" customFormat="false" ht="12.75" hidden="false" customHeight="true" outlineLevel="0" collapsed="false">
      <c r="A166" s="103" t="str">
        <f aca="false">A45</f>
        <v>      Cash Provided by (Used in) Investing Activities</v>
      </c>
      <c r="B166" s="103"/>
      <c r="C166" s="103"/>
      <c r="D166" s="159" t="n">
        <f aca="false">SUM(D160:D165)</f>
        <v>-46091</v>
      </c>
      <c r="E166" s="159" t="n">
        <f aca="false">SUM(E160:E165)</f>
        <v>-10275</v>
      </c>
      <c r="F166" s="159" t="n">
        <f aca="false">SUM(F160:F165)</f>
        <v>-2504</v>
      </c>
      <c r="G166" s="159" t="n">
        <f aca="false">SUM(G160:G165)</f>
        <v>4995</v>
      </c>
      <c r="H166" s="159" t="n">
        <f aca="false">SUM(H160:H165)</f>
        <v>2576</v>
      </c>
      <c r="I166" s="159" t="n">
        <f aca="false">SUM(I160:I165)</f>
        <v>4295</v>
      </c>
      <c r="J166" s="159" t="n">
        <f aca="false">SUM(J160:J165)</f>
        <v>-2541</v>
      </c>
      <c r="K166" s="159" t="n">
        <f aca="false">SUM(K160:K165)</f>
        <v>-8496</v>
      </c>
      <c r="L166" s="159" t="n">
        <f aca="false">SUM(L160:L165)</f>
        <v>-11400</v>
      </c>
      <c r="M166" s="159" t="n">
        <f aca="false">SUM(M160:M165)</f>
        <v>-8961</v>
      </c>
      <c r="N166" s="159" t="n">
        <f aca="false">SUM(N160:N165)</f>
        <v>-8959</v>
      </c>
      <c r="O166" s="159" t="n">
        <f aca="false">SUM(O160:O165)</f>
        <v>-2270</v>
      </c>
      <c r="P166" s="159" t="n">
        <f aca="false">SUM(P160:P165)</f>
        <v>-89631</v>
      </c>
      <c r="Q166" s="159" t="n">
        <f aca="false">SUM(Q160:Q165)</f>
        <v>-49545</v>
      </c>
      <c r="R166" s="159" t="n">
        <f aca="false">SUM(R160:R165)</f>
        <v>-40086</v>
      </c>
      <c r="S166" s="103"/>
      <c r="T166" s="159" t="n">
        <f aca="false">SUM(T160:T165)</f>
        <v>-83200</v>
      </c>
      <c r="U166" s="159" t="n">
        <f aca="false">SUM(U160:U165)</f>
        <v>-70100</v>
      </c>
      <c r="V166" s="159" t="n">
        <f aca="false">SUM(V160:V165)</f>
        <v>-13100</v>
      </c>
      <c r="W166" s="103"/>
      <c r="X166" s="103"/>
      <c r="Y166" s="103"/>
      <c r="Z166" s="103"/>
      <c r="AA166" s="103" t="str">
        <f aca="false">A166</f>
        <v>      Cash Provided by (Used in) Investing Activities</v>
      </c>
      <c r="AB166" s="159" t="n">
        <f aca="false">SUM(AB160:AB165)</f>
        <v>-89631</v>
      </c>
      <c r="AC166" s="159" t="n">
        <f aca="false">SUM(AC160:AC165)</f>
        <v>-69441</v>
      </c>
      <c r="AD166" s="159" t="n">
        <f aca="false">SUM(AD160:AD165)</f>
        <v>-20190</v>
      </c>
      <c r="AE166" s="103"/>
      <c r="AF166" s="159" t="n">
        <f aca="false">SUM(AF160:AF165)</f>
        <v>-83200</v>
      </c>
      <c r="AG166" s="159" t="n">
        <f aca="false">SUM(AG160:AG165)</f>
        <v>-70100</v>
      </c>
      <c r="AH166" s="159" t="n">
        <f aca="false">SUM(AH160:AH165)</f>
        <v>-13100</v>
      </c>
      <c r="AI166" s="103"/>
      <c r="AJ166" s="159" t="n">
        <f aca="false">SUM(AJ160:AJ165)</f>
        <v>659</v>
      </c>
      <c r="AK166" s="159" t="n">
        <f aca="false">SUM(AK160:AK165)</f>
        <v>-6431</v>
      </c>
      <c r="AL166" s="103"/>
      <c r="AM166" s="159" t="n">
        <f aca="false">SUM(AM160:AM165)</f>
        <v>-98435</v>
      </c>
      <c r="AN166" s="159" t="n">
        <f aca="false">SUM(AN160:AN165)</f>
        <v>8804</v>
      </c>
      <c r="AO166" s="103"/>
      <c r="AP166" s="159" t="n">
        <f aca="false">SUM(AP160:AP165)</f>
        <v>-81776</v>
      </c>
      <c r="AQ166" s="159" t="n">
        <f aca="false">SUM(AQ160:AQ165)</f>
        <v>12335</v>
      </c>
      <c r="AR166" s="103"/>
      <c r="AS166" s="103"/>
      <c r="AT166" s="103"/>
      <c r="AU166" s="103"/>
    </row>
    <row r="167" customFormat="false" ht="6" hidden="false" customHeight="true" outlineLevel="0" collapsed="false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0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</row>
    <row r="168" customFormat="false" ht="12.75" hidden="false" customHeight="true" outlineLevel="0" collapsed="false">
      <c r="A168" s="116" t="s">
        <v>547</v>
      </c>
      <c r="B168" s="103"/>
      <c r="C168" s="103"/>
      <c r="D168" s="164" t="n">
        <f aca="false">D157+D166</f>
        <v>31364</v>
      </c>
      <c r="E168" s="164" t="n">
        <f aca="false">E157+E166</f>
        <v>-29096</v>
      </c>
      <c r="F168" s="164" t="n">
        <f aca="false">F157+F166</f>
        <v>8294</v>
      </c>
      <c r="G168" s="164" t="n">
        <f aca="false">G157+G166</f>
        <v>47457</v>
      </c>
      <c r="H168" s="164" t="n">
        <f aca="false">H157+H166</f>
        <v>13345</v>
      </c>
      <c r="I168" s="164" t="n">
        <f aca="false">I157+I166</f>
        <v>-3733</v>
      </c>
      <c r="J168" s="164" t="n">
        <f aca="false">J157+J166</f>
        <v>11701</v>
      </c>
      <c r="K168" s="164" t="n">
        <f aca="false">K157+K166</f>
        <v>11449</v>
      </c>
      <c r="L168" s="164" t="n">
        <f aca="false">L157+L166</f>
        <v>-5400</v>
      </c>
      <c r="M168" s="164" t="n">
        <f aca="false">M157+M166</f>
        <v>-16600</v>
      </c>
      <c r="N168" s="164" t="n">
        <f aca="false">N157+N166</f>
        <v>-22000</v>
      </c>
      <c r="O168" s="164" t="n">
        <f aca="false">O157+O166</f>
        <v>-14300</v>
      </c>
      <c r="P168" s="164" t="n">
        <f aca="false">P157+P166</f>
        <v>32481</v>
      </c>
      <c r="Q168" s="164" t="n">
        <f aca="false">Q157+Q166</f>
        <v>79332</v>
      </c>
      <c r="R168" s="164" t="n">
        <f aca="false">R157+R166</f>
        <v>-46851</v>
      </c>
      <c r="S168" s="103"/>
      <c r="T168" s="164" t="n">
        <f aca="false">T157+T166</f>
        <v>38700</v>
      </c>
      <c r="U168" s="164" t="n">
        <f aca="false">U157+U166</f>
        <v>46900</v>
      </c>
      <c r="V168" s="164" t="n">
        <f aca="false">V157+V166</f>
        <v>-8200</v>
      </c>
      <c r="W168" s="103"/>
      <c r="X168" s="103"/>
      <c r="Y168" s="103"/>
      <c r="Z168" s="103"/>
      <c r="AA168" s="100" t="str">
        <f aca="false">A168</f>
        <v>NET CASH FLOW</v>
      </c>
      <c r="AB168" s="164" t="n">
        <f aca="false">AB157+AB166</f>
        <v>32481</v>
      </c>
      <c r="AC168" s="164" t="n">
        <f aca="false">AC157+AC166</f>
        <v>85381</v>
      </c>
      <c r="AD168" s="164" t="n">
        <f aca="false">AD157+AD166</f>
        <v>-52900</v>
      </c>
      <c r="AE168" s="103"/>
      <c r="AF168" s="164" t="n">
        <f aca="false">AF157+AF166</f>
        <v>38700</v>
      </c>
      <c r="AG168" s="164" t="n">
        <f aca="false">AG157+AG166</f>
        <v>46900</v>
      </c>
      <c r="AH168" s="164" t="n">
        <f aca="false">AH157+AH166</f>
        <v>-8200</v>
      </c>
      <c r="AI168" s="103"/>
      <c r="AJ168" s="164" t="n">
        <f aca="false">AJ157+AJ166</f>
        <v>38481</v>
      </c>
      <c r="AK168" s="164" t="n">
        <f aca="false">AK157+AK166</f>
        <v>-6219</v>
      </c>
      <c r="AL168" s="103"/>
      <c r="AM168" s="166" t="n">
        <f aca="false">AM157+AM166</f>
        <v>19489</v>
      </c>
      <c r="AN168" s="166" t="n">
        <f aca="false">AN157+AN166</f>
        <v>12992</v>
      </c>
      <c r="AO168" s="103"/>
      <c r="AP168" s="166" t="n">
        <f aca="false">AP157+AP166</f>
        <v>67539</v>
      </c>
      <c r="AQ168" s="166" t="n">
        <f aca="false">AQ157+AQ166</f>
        <v>17842</v>
      </c>
      <c r="AR168" s="103"/>
      <c r="AS168" s="103"/>
      <c r="AT168" s="103"/>
      <c r="AU168" s="103"/>
    </row>
    <row r="169" customFormat="false" ht="6" hidden="false" customHeight="true" outlineLevel="0" collapsed="false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0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</row>
    <row r="170" customFormat="false" ht="12.75" hidden="false" customHeight="true" outlineLevel="0" collapsed="false">
      <c r="A170" s="103" t="str">
        <f aca="false">A49</f>
        <v>OTHER ITEMS AFFECTING INTERCO. (CORP.) BALANCE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 t="str">
        <f aca="false">A170</f>
        <v>OTHER ITEMS AFFECTING INTERCO. (CORP.) BALANCE</v>
      </c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</row>
    <row r="171" customFormat="false" ht="12.75" hidden="false" customHeight="true" outlineLevel="0" collapsed="false">
      <c r="A171" s="103" t="str">
        <f aca="false">A50</f>
        <v>   Dividends Transferred to EPC </v>
      </c>
      <c r="B171" s="103"/>
      <c r="C171" s="103"/>
      <c r="D171" s="157" t="n">
        <f aca="false">D50</f>
        <v>0</v>
      </c>
      <c r="E171" s="157" t="n">
        <f aca="false">E50</f>
        <v>0</v>
      </c>
      <c r="F171" s="157" t="n">
        <f aca="false">F50</f>
        <v>0</v>
      </c>
      <c r="G171" s="157" t="n">
        <f aca="false">G50</f>
        <v>0</v>
      </c>
      <c r="H171" s="157" t="n">
        <f aca="false">H50</f>
        <v>0</v>
      </c>
      <c r="I171" s="157" t="n">
        <f aca="false">I50</f>
        <v>0</v>
      </c>
      <c r="J171" s="157" t="n">
        <f aca="false">J50</f>
        <v>0</v>
      </c>
      <c r="K171" s="157" t="n">
        <f aca="false">K50</f>
        <v>0</v>
      </c>
      <c r="L171" s="157" t="n">
        <f aca="false">L50</f>
        <v>0</v>
      </c>
      <c r="M171" s="157" t="n">
        <f aca="false">M50</f>
        <v>0</v>
      </c>
      <c r="N171" s="157" t="n">
        <f aca="false">N50</f>
        <v>0</v>
      </c>
      <c r="O171" s="157" t="n">
        <f aca="false">O50</f>
        <v>0</v>
      </c>
      <c r="P171" s="157" t="n">
        <f aca="false">P50</f>
        <v>0</v>
      </c>
      <c r="Q171" s="157" t="n">
        <f aca="false">Q50</f>
        <v>0</v>
      </c>
      <c r="R171" s="157" t="n">
        <f aca="false">R50</f>
        <v>0</v>
      </c>
      <c r="S171" s="103"/>
      <c r="T171" s="157" t="n">
        <f aca="false">T50</f>
        <v>0</v>
      </c>
      <c r="U171" s="157" t="n">
        <f aca="false">U50</f>
        <v>0</v>
      </c>
      <c r="V171" s="157" t="n">
        <f aca="false">V50</f>
        <v>0</v>
      </c>
      <c r="W171" s="103"/>
      <c r="X171" s="103"/>
      <c r="Y171" s="103"/>
      <c r="Z171" s="103"/>
      <c r="AA171" s="103" t="str">
        <f aca="false">A171</f>
        <v>   Dividends Transferred to EPC </v>
      </c>
      <c r="AB171" s="157" t="n">
        <f aca="false">P171</f>
        <v>0</v>
      </c>
      <c r="AC171" s="157" t="n">
        <f aca="false">AC50</f>
        <v>0</v>
      </c>
      <c r="AD171" s="130" t="n">
        <f aca="false">AB171-AC171</f>
        <v>0</v>
      </c>
      <c r="AE171" s="103"/>
      <c r="AF171" s="130" t="n">
        <f aca="false">T171</f>
        <v>0</v>
      </c>
      <c r="AG171" s="157" t="n">
        <f aca="false">AG50</f>
        <v>0</v>
      </c>
      <c r="AH171" s="130" t="n">
        <f aca="false">AF171-AG171</f>
        <v>0</v>
      </c>
      <c r="AI171" s="103"/>
      <c r="AJ171" s="130" t="n">
        <f aca="false">AC171-AG171</f>
        <v>0</v>
      </c>
      <c r="AK171" s="130" t="n">
        <f aca="false">AB171-AF171</f>
        <v>0</v>
      </c>
      <c r="AL171" s="103"/>
      <c r="AM171" s="157" t="n">
        <f aca="false">AM50</f>
        <v>0</v>
      </c>
      <c r="AN171" s="130" t="n">
        <f aca="false">AB171-AM171</f>
        <v>0</v>
      </c>
      <c r="AO171" s="103"/>
      <c r="AP171" s="157" t="n">
        <f aca="false">AP50</f>
        <v>0</v>
      </c>
      <c r="AQ171" s="130" t="n">
        <f aca="false">AC171-AP171</f>
        <v>0</v>
      </c>
      <c r="AR171" s="103"/>
      <c r="AS171" s="103"/>
      <c r="AT171" s="103"/>
      <c r="AU171" s="103"/>
    </row>
    <row r="172" customFormat="false" ht="12.75" hidden="false" customHeight="true" outlineLevel="0" collapsed="false">
      <c r="A172" s="103" t="str">
        <f aca="false">A51</f>
        <v>   Inc. / (Dec.) in Long-Term Debt  (External)</v>
      </c>
      <c r="B172" s="103"/>
      <c r="C172" s="103"/>
      <c r="D172" s="157" t="n">
        <f aca="false">D51</f>
        <v>0</v>
      </c>
      <c r="E172" s="157" t="n">
        <f aca="false">E51</f>
        <v>0</v>
      </c>
      <c r="F172" s="157" t="n">
        <f aca="false">F51</f>
        <v>0</v>
      </c>
      <c r="G172" s="157" t="n">
        <f aca="false">G51</f>
        <v>0</v>
      </c>
      <c r="H172" s="157" t="n">
        <f aca="false">H51</f>
        <v>0</v>
      </c>
      <c r="I172" s="157" t="n">
        <f aca="false">I51</f>
        <v>0</v>
      </c>
      <c r="J172" s="157" t="n">
        <f aca="false">J51</f>
        <v>0</v>
      </c>
      <c r="K172" s="157" t="n">
        <f aca="false">K51</f>
        <v>0</v>
      </c>
      <c r="L172" s="157" t="n">
        <f aca="false">L51</f>
        <v>0</v>
      </c>
      <c r="M172" s="157" t="n">
        <f aca="false">M51</f>
        <v>0</v>
      </c>
      <c r="N172" s="157" t="n">
        <f aca="false">N51</f>
        <v>0</v>
      </c>
      <c r="O172" s="157" t="n">
        <f aca="false">O51</f>
        <v>0</v>
      </c>
      <c r="P172" s="157" t="n">
        <f aca="false">P51</f>
        <v>0</v>
      </c>
      <c r="Q172" s="157" t="n">
        <f aca="false">Q51</f>
        <v>0</v>
      </c>
      <c r="R172" s="157" t="n">
        <f aca="false">R51</f>
        <v>0</v>
      </c>
      <c r="S172" s="103"/>
      <c r="T172" s="157" t="n">
        <f aca="false">T51</f>
        <v>0</v>
      </c>
      <c r="U172" s="157" t="n">
        <f aca="false">U51</f>
        <v>0</v>
      </c>
      <c r="V172" s="157" t="n">
        <f aca="false">V51</f>
        <v>0</v>
      </c>
      <c r="W172" s="103"/>
      <c r="X172" s="103"/>
      <c r="Y172" s="103"/>
      <c r="Z172" s="103"/>
      <c r="AA172" s="103" t="str">
        <f aca="false">A172</f>
        <v>   Inc. / (Dec.) in Long-Term Debt  (External)</v>
      </c>
      <c r="AB172" s="157" t="n">
        <f aca="false">P172</f>
        <v>0</v>
      </c>
      <c r="AC172" s="157" t="n">
        <f aca="false">AC51</f>
        <v>0</v>
      </c>
      <c r="AD172" s="130" t="n">
        <f aca="false">AB172-AC172</f>
        <v>0</v>
      </c>
      <c r="AE172" s="103"/>
      <c r="AF172" s="130" t="n">
        <f aca="false">T172</f>
        <v>0</v>
      </c>
      <c r="AG172" s="157" t="n">
        <f aca="false">AG51</f>
        <v>0</v>
      </c>
      <c r="AH172" s="130" t="n">
        <f aca="false">AF172-AG172</f>
        <v>0</v>
      </c>
      <c r="AI172" s="103"/>
      <c r="AJ172" s="130" t="n">
        <f aca="false">AC172-AG172</f>
        <v>0</v>
      </c>
      <c r="AK172" s="130" t="n">
        <f aca="false">AB172-AF172</f>
        <v>0</v>
      </c>
      <c r="AL172" s="103"/>
      <c r="AM172" s="157" t="n">
        <f aca="false">AM51</f>
        <v>0</v>
      </c>
      <c r="AN172" s="130" t="n">
        <f aca="false">AB172-AM172</f>
        <v>0</v>
      </c>
      <c r="AO172" s="103"/>
      <c r="AP172" s="157" t="n">
        <f aca="false">AP51</f>
        <v>0</v>
      </c>
      <c r="AQ172" s="130" t="n">
        <f aca="false">AC172-AP172</f>
        <v>0</v>
      </c>
      <c r="AR172" s="103"/>
      <c r="AS172" s="103"/>
      <c r="AT172" s="103"/>
      <c r="AU172" s="103"/>
    </row>
    <row r="173" customFormat="false" ht="12.75" hidden="false" customHeight="true" outlineLevel="0" collapsed="false">
      <c r="A173" s="103" t="str">
        <f aca="false">A52</f>
        <v>   Inc. / (Dec.) in Long-Term Debt Discount </v>
      </c>
      <c r="B173" s="103"/>
      <c r="C173" s="103"/>
      <c r="D173" s="137" t="n">
        <f aca="false">D52</f>
        <v>0</v>
      </c>
      <c r="E173" s="137" t="n">
        <f aca="false">E52</f>
        <v>0</v>
      </c>
      <c r="F173" s="137" t="n">
        <f aca="false">F52</f>
        <v>0</v>
      </c>
      <c r="G173" s="137" t="n">
        <f aca="false">G52</f>
        <v>0</v>
      </c>
      <c r="H173" s="137" t="n">
        <f aca="false">H52</f>
        <v>0</v>
      </c>
      <c r="I173" s="137" t="n">
        <f aca="false">I52</f>
        <v>0</v>
      </c>
      <c r="J173" s="137" t="n">
        <f aca="false">J52</f>
        <v>0</v>
      </c>
      <c r="K173" s="137" t="n">
        <f aca="false">K52</f>
        <v>0</v>
      </c>
      <c r="L173" s="137" t="n">
        <f aca="false">L52</f>
        <v>0</v>
      </c>
      <c r="M173" s="137" t="n">
        <f aca="false">M52</f>
        <v>0</v>
      </c>
      <c r="N173" s="137" t="n">
        <f aca="false">N52</f>
        <v>0</v>
      </c>
      <c r="O173" s="137" t="n">
        <f aca="false">O52</f>
        <v>0</v>
      </c>
      <c r="P173" s="137" t="n">
        <f aca="false">P52</f>
        <v>0</v>
      </c>
      <c r="Q173" s="137" t="n">
        <f aca="false">Q52</f>
        <v>0</v>
      </c>
      <c r="R173" s="137" t="n">
        <f aca="false">R52</f>
        <v>0</v>
      </c>
      <c r="S173" s="103"/>
      <c r="T173" s="167" t="n">
        <f aca="false">T52</f>
        <v>0</v>
      </c>
      <c r="U173" s="167" t="n">
        <f aca="false">U52</f>
        <v>0</v>
      </c>
      <c r="V173" s="167" t="n">
        <f aca="false">V52</f>
        <v>0</v>
      </c>
      <c r="W173" s="103"/>
      <c r="X173" s="103"/>
      <c r="Y173" s="103"/>
      <c r="Z173" s="103"/>
      <c r="AA173" s="103" t="str">
        <f aca="false">A173</f>
        <v>   Inc. / (Dec.) in Long-Term Debt Discount </v>
      </c>
      <c r="AB173" s="157" t="n">
        <f aca="false">P173</f>
        <v>0</v>
      </c>
      <c r="AC173" s="157" t="n">
        <f aca="false">AC52</f>
        <v>0</v>
      </c>
      <c r="AD173" s="130" t="n">
        <f aca="false">AB173-AC173</f>
        <v>0</v>
      </c>
      <c r="AE173" s="103"/>
      <c r="AF173" s="130" t="n">
        <f aca="false">T173</f>
        <v>0</v>
      </c>
      <c r="AG173" s="168" t="n">
        <f aca="false">AG52</f>
        <v>0</v>
      </c>
      <c r="AH173" s="130" t="n">
        <f aca="false">AF173-AG173</f>
        <v>0</v>
      </c>
      <c r="AI173" s="103"/>
      <c r="AJ173" s="130" t="n">
        <f aca="false">AC173-AG173</f>
        <v>0</v>
      </c>
      <c r="AK173" s="130" t="n">
        <f aca="false">AB173-AF173</f>
        <v>0</v>
      </c>
      <c r="AL173" s="103"/>
      <c r="AM173" s="157" t="n">
        <f aca="false">AM52</f>
        <v>0</v>
      </c>
      <c r="AN173" s="130" t="n">
        <f aca="false">AB173-AM173</f>
        <v>0</v>
      </c>
      <c r="AO173" s="103"/>
      <c r="AP173" s="157" t="n">
        <f aca="false">AP52</f>
        <v>0</v>
      </c>
      <c r="AQ173" s="130" t="n">
        <f aca="false">AC173-AP173</f>
        <v>0</v>
      </c>
      <c r="AR173" s="103"/>
      <c r="AS173" s="103"/>
      <c r="AT173" s="103"/>
      <c r="AU173" s="103"/>
    </row>
    <row r="174" customFormat="false" ht="12.75" hidden="false" customHeight="true" outlineLevel="0" collapsed="false">
      <c r="A174" s="103" t="str">
        <f aca="false">A53</f>
        <v>   Contribution from Parent </v>
      </c>
      <c r="B174" s="103"/>
      <c r="C174" s="103"/>
      <c r="D174" s="159" t="n">
        <f aca="false">D53</f>
        <v>0</v>
      </c>
      <c r="E174" s="159" t="n">
        <f aca="false">E53</f>
        <v>0</v>
      </c>
      <c r="F174" s="159" t="n">
        <f aca="false">F53</f>
        <v>0</v>
      </c>
      <c r="G174" s="159" t="n">
        <f aca="false">G53</f>
        <v>0</v>
      </c>
      <c r="H174" s="159" t="n">
        <f aca="false">H53</f>
        <v>0</v>
      </c>
      <c r="I174" s="159" t="n">
        <f aca="false">I53</f>
        <v>0</v>
      </c>
      <c r="J174" s="159" t="n">
        <f aca="false">J53</f>
        <v>0</v>
      </c>
      <c r="K174" s="159" t="n">
        <f aca="false">K53</f>
        <v>0</v>
      </c>
      <c r="L174" s="159" t="n">
        <f aca="false">L53</f>
        <v>0</v>
      </c>
      <c r="M174" s="159" t="n">
        <f aca="false">M53</f>
        <v>0</v>
      </c>
      <c r="N174" s="159" t="n">
        <f aca="false">N53</f>
        <v>0</v>
      </c>
      <c r="O174" s="159" t="n">
        <f aca="false">O53</f>
        <v>0</v>
      </c>
      <c r="P174" s="159" t="n">
        <f aca="false">P53</f>
        <v>0</v>
      </c>
      <c r="Q174" s="159" t="n">
        <f aca="false">Q53</f>
        <v>0</v>
      </c>
      <c r="R174" s="159" t="n">
        <f aca="false">R53</f>
        <v>0</v>
      </c>
      <c r="S174" s="103"/>
      <c r="T174" s="159" t="n">
        <f aca="false">T53</f>
        <v>0</v>
      </c>
      <c r="U174" s="159" t="n">
        <f aca="false">U53</f>
        <v>0</v>
      </c>
      <c r="V174" s="159" t="n">
        <f aca="false">V53</f>
        <v>0</v>
      </c>
      <c r="W174" s="103"/>
      <c r="X174" s="103"/>
      <c r="Y174" s="103"/>
      <c r="Z174" s="103"/>
      <c r="AA174" s="103" t="str">
        <f aca="false">A174</f>
        <v>   Contribution from Parent </v>
      </c>
      <c r="AB174" s="159" t="n">
        <f aca="false">P174</f>
        <v>0</v>
      </c>
      <c r="AC174" s="159" t="n">
        <f aca="false">AC53</f>
        <v>0</v>
      </c>
      <c r="AD174" s="143" t="n">
        <f aca="false">AB174-AC174</f>
        <v>0</v>
      </c>
      <c r="AE174" s="160"/>
      <c r="AF174" s="143" t="n">
        <f aca="false">T174</f>
        <v>0</v>
      </c>
      <c r="AG174" s="159" t="n">
        <f aca="false">AG53</f>
        <v>0</v>
      </c>
      <c r="AH174" s="143" t="n">
        <f aca="false">AF174-AG174</f>
        <v>0</v>
      </c>
      <c r="AI174" s="103"/>
      <c r="AJ174" s="143" t="n">
        <f aca="false">AC174-AG174</f>
        <v>0</v>
      </c>
      <c r="AK174" s="143" t="n">
        <f aca="false">AB174-AF174</f>
        <v>0</v>
      </c>
      <c r="AL174" s="103"/>
      <c r="AM174" s="159" t="n">
        <f aca="false">AM53</f>
        <v>0</v>
      </c>
      <c r="AN174" s="143" t="n">
        <f aca="false">AB174-AM174</f>
        <v>0</v>
      </c>
      <c r="AO174" s="103"/>
      <c r="AP174" s="159" t="n">
        <f aca="false">AP53</f>
        <v>0</v>
      </c>
      <c r="AQ174" s="143" t="n">
        <f aca="false">AC174-AP174</f>
        <v>0</v>
      </c>
      <c r="AR174" s="103"/>
      <c r="AS174" s="103"/>
      <c r="AT174" s="103"/>
      <c r="AU174" s="103"/>
    </row>
    <row r="175" customFormat="false" ht="3.95" hidden="false" customHeight="true" outlineLevel="0" collapsed="false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0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</row>
    <row r="176" customFormat="false" ht="12.75" hidden="false" customHeight="true" outlineLevel="0" collapsed="false">
      <c r="A176" s="103" t="str">
        <f aca="false">A55</f>
        <v>      Total Items Affecting Intercompany (Corp.) Balance</v>
      </c>
      <c r="B176" s="103"/>
      <c r="C176" s="103"/>
      <c r="D176" s="159" t="n">
        <f aca="false">SUM(D171:D175)</f>
        <v>0</v>
      </c>
      <c r="E176" s="159" t="n">
        <f aca="false">SUM(E171:E175)</f>
        <v>0</v>
      </c>
      <c r="F176" s="159" t="n">
        <f aca="false">SUM(F171:F175)</f>
        <v>0</v>
      </c>
      <c r="G176" s="159" t="n">
        <f aca="false">SUM(G171:G175)</f>
        <v>0</v>
      </c>
      <c r="H176" s="159" t="n">
        <f aca="false">SUM(H171:H175)</f>
        <v>0</v>
      </c>
      <c r="I176" s="159" t="n">
        <f aca="false">SUM(I171:I175)</f>
        <v>0</v>
      </c>
      <c r="J176" s="159" t="n">
        <f aca="false">SUM(J171:J175)</f>
        <v>0</v>
      </c>
      <c r="K176" s="159" t="n">
        <f aca="false">SUM(K171:K175)</f>
        <v>0</v>
      </c>
      <c r="L176" s="159" t="n">
        <f aca="false">SUM(L171:L175)</f>
        <v>0</v>
      </c>
      <c r="M176" s="159" t="n">
        <f aca="false">SUM(M171:M175)</f>
        <v>0</v>
      </c>
      <c r="N176" s="159" t="n">
        <f aca="false">SUM(N171:N175)</f>
        <v>0</v>
      </c>
      <c r="O176" s="159" t="n">
        <f aca="false">SUM(O171:O175)</f>
        <v>0</v>
      </c>
      <c r="P176" s="159" t="n">
        <f aca="false">SUM(P171:P175)</f>
        <v>0</v>
      </c>
      <c r="Q176" s="159" t="n">
        <f aca="false">SUM(Q171:Q175)</f>
        <v>0</v>
      </c>
      <c r="R176" s="159" t="n">
        <f aca="false">SUM(R171:R175)</f>
        <v>0</v>
      </c>
      <c r="S176" s="103"/>
      <c r="T176" s="159" t="n">
        <f aca="false">SUM(T171:T175)</f>
        <v>0</v>
      </c>
      <c r="U176" s="159" t="n">
        <f aca="false">SUM(U171:U175)</f>
        <v>0</v>
      </c>
      <c r="V176" s="159" t="n">
        <f aca="false">SUM(V171:V175)</f>
        <v>0</v>
      </c>
      <c r="W176" s="103"/>
      <c r="X176" s="103"/>
      <c r="Y176" s="103"/>
      <c r="Z176" s="103"/>
      <c r="AA176" s="103" t="str">
        <f aca="false">A176</f>
        <v>      Total Items Affecting Intercompany (Corp.) Balance</v>
      </c>
      <c r="AB176" s="159" t="n">
        <f aca="false">SUM(AB171:AB175)</f>
        <v>0</v>
      </c>
      <c r="AC176" s="159" t="n">
        <f aca="false">SUM(AC171:AC175)</f>
        <v>0</v>
      </c>
      <c r="AD176" s="159" t="n">
        <f aca="false">SUM(AD171:AD175)</f>
        <v>0</v>
      </c>
      <c r="AE176" s="103"/>
      <c r="AF176" s="159" t="n">
        <f aca="false">SUM(AF171:AF175)</f>
        <v>0</v>
      </c>
      <c r="AG176" s="159" t="n">
        <f aca="false">SUM(AG171:AG175)</f>
        <v>0</v>
      </c>
      <c r="AH176" s="159" t="n">
        <f aca="false">SUM(AH171:AH175)</f>
        <v>0</v>
      </c>
      <c r="AI176" s="103"/>
      <c r="AJ176" s="159" t="n">
        <f aca="false">SUM(AJ171:AJ175)</f>
        <v>0</v>
      </c>
      <c r="AK176" s="159" t="n">
        <f aca="false">SUM(AK171:AK175)</f>
        <v>0</v>
      </c>
      <c r="AL176" s="103"/>
      <c r="AM176" s="159" t="n">
        <f aca="false">SUM(AM171:AM175)</f>
        <v>0</v>
      </c>
      <c r="AN176" s="159" t="n">
        <f aca="false">SUM(AN171:AN175)</f>
        <v>0</v>
      </c>
      <c r="AO176" s="103"/>
      <c r="AP176" s="159" t="n">
        <f aca="false">SUM(AP171:AP175)</f>
        <v>0</v>
      </c>
      <c r="AQ176" s="159" t="n">
        <f aca="false">SUM(AQ171:AQ175)</f>
        <v>0</v>
      </c>
      <c r="AR176" s="103"/>
      <c r="AS176" s="103"/>
      <c r="AT176" s="103"/>
      <c r="AU176" s="103"/>
    </row>
    <row r="177" customFormat="false" ht="6" hidden="false" customHeight="true" outlineLevel="0" collapsed="false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0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</row>
    <row r="178" customFormat="false" ht="12.75" hidden="false" customHeight="true" outlineLevel="0" collapsed="false">
      <c r="A178" s="100" t="str">
        <f aca="false">A57</f>
        <v>INCREASE / (DECREASE) IN INTERCOMPANY CASH</v>
      </c>
      <c r="B178" s="103"/>
      <c r="C178" s="103"/>
      <c r="D178" s="157" t="n">
        <f aca="false">D168+D176</f>
        <v>31364</v>
      </c>
      <c r="E178" s="157" t="n">
        <f aca="false">E168+E176</f>
        <v>-29096</v>
      </c>
      <c r="F178" s="157" t="n">
        <f aca="false">F168+F176</f>
        <v>8294</v>
      </c>
      <c r="G178" s="157" t="n">
        <f aca="false">G168+G176</f>
        <v>47457</v>
      </c>
      <c r="H178" s="157" t="n">
        <f aca="false">H168+H176</f>
        <v>13345</v>
      </c>
      <c r="I178" s="157" t="n">
        <f aca="false">I168+I176</f>
        <v>-3733</v>
      </c>
      <c r="J178" s="157" t="n">
        <f aca="false">J168+J176</f>
        <v>11701</v>
      </c>
      <c r="K178" s="157" t="n">
        <f aca="false">K168+K176</f>
        <v>11449</v>
      </c>
      <c r="L178" s="157" t="n">
        <f aca="false">L168+L176</f>
        <v>-5400</v>
      </c>
      <c r="M178" s="157" t="n">
        <f aca="false">M168+M176</f>
        <v>-16600</v>
      </c>
      <c r="N178" s="157" t="n">
        <f aca="false">N168+N176</f>
        <v>-22000</v>
      </c>
      <c r="O178" s="157" t="n">
        <f aca="false">O168+O176</f>
        <v>-14300</v>
      </c>
      <c r="P178" s="157" t="n">
        <f aca="false">P168+P176</f>
        <v>32481</v>
      </c>
      <c r="Q178" s="157" t="n">
        <f aca="false">Q168+Q176</f>
        <v>79332</v>
      </c>
      <c r="R178" s="157" t="n">
        <f aca="false">R168+R176</f>
        <v>-46851</v>
      </c>
      <c r="S178" s="103"/>
      <c r="T178" s="157" t="n">
        <f aca="false">T168+T176</f>
        <v>38700</v>
      </c>
      <c r="U178" s="157" t="n">
        <f aca="false">U168+U176</f>
        <v>46900</v>
      </c>
      <c r="V178" s="157" t="n">
        <f aca="false">V168+V176</f>
        <v>-8200</v>
      </c>
      <c r="W178" s="103"/>
      <c r="X178" s="103"/>
      <c r="Y178" s="103"/>
      <c r="Z178" s="103"/>
      <c r="AA178" s="100" t="str">
        <f aca="false">A178</f>
        <v>INCREASE / (DECREASE) IN INTERCOMPANY CASH</v>
      </c>
      <c r="AB178" s="157" t="n">
        <f aca="false">AB168+AB176</f>
        <v>32481</v>
      </c>
      <c r="AC178" s="157" t="n">
        <f aca="false">AC168+AC176</f>
        <v>85381</v>
      </c>
      <c r="AD178" s="157" t="n">
        <f aca="false">AD168+AD176</f>
        <v>-52900</v>
      </c>
      <c r="AE178" s="103"/>
      <c r="AF178" s="157" t="n">
        <f aca="false">AF168+AF176</f>
        <v>38700</v>
      </c>
      <c r="AG178" s="157" t="n">
        <f aca="false">AG168+AG176</f>
        <v>46900</v>
      </c>
      <c r="AH178" s="157" t="n">
        <f aca="false">AH168+AH176</f>
        <v>-8200</v>
      </c>
      <c r="AI178" s="103"/>
      <c r="AJ178" s="157" t="n">
        <f aca="false">AJ168+AJ176</f>
        <v>38481</v>
      </c>
      <c r="AK178" s="157" t="n">
        <f aca="false">AK168+AK176</f>
        <v>-6219</v>
      </c>
      <c r="AL178" s="103"/>
      <c r="AM178" s="157" t="n">
        <f aca="false">AM168+AM176</f>
        <v>19489</v>
      </c>
      <c r="AN178" s="157" t="n">
        <f aca="false">AN168+AN176</f>
        <v>12992</v>
      </c>
      <c r="AO178" s="103"/>
      <c r="AP178" s="157" t="n">
        <f aca="false">AP168+AP176</f>
        <v>67539</v>
      </c>
      <c r="AQ178" s="157" t="n">
        <f aca="false">AQ168+AQ176</f>
        <v>17842</v>
      </c>
      <c r="AR178" s="103"/>
      <c r="AS178" s="103"/>
      <c r="AT178" s="103"/>
      <c r="AU178" s="103"/>
    </row>
    <row r="179" customFormat="false" ht="6" hidden="false" customHeight="true" outlineLevel="0" collapsed="false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0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</row>
    <row r="180" customFormat="false" ht="12.75" hidden="false" customHeight="true" outlineLevel="0" collapsed="false">
      <c r="A180" s="100" t="str">
        <f aca="false">A59</f>
        <v>      Change in Other Obligations</v>
      </c>
      <c r="B180" s="103"/>
      <c r="C180" s="103"/>
      <c r="D180" s="159" t="n">
        <f aca="false">D59</f>
        <v>-6</v>
      </c>
      <c r="E180" s="159" t="n">
        <f aca="false">E59</f>
        <v>-6</v>
      </c>
      <c r="F180" s="159" t="n">
        <f aca="false">F59</f>
        <v>-7</v>
      </c>
      <c r="G180" s="159" t="n">
        <f aca="false">G59</f>
        <v>-6</v>
      </c>
      <c r="H180" s="159" t="n">
        <f aca="false">H59</f>
        <v>-7</v>
      </c>
      <c r="I180" s="159" t="n">
        <f aca="false">I59</f>
        <v>-6</v>
      </c>
      <c r="J180" s="159" t="n">
        <f aca="false">J59</f>
        <v>-7</v>
      </c>
      <c r="K180" s="159" t="n">
        <f aca="false">K59</f>
        <v>-6</v>
      </c>
      <c r="L180" s="159" t="n">
        <f aca="false">L59</f>
        <v>-7</v>
      </c>
      <c r="M180" s="159" t="n">
        <f aca="false">M59</f>
        <v>-6</v>
      </c>
      <c r="N180" s="159" t="n">
        <f aca="false">N59</f>
        <v>-7</v>
      </c>
      <c r="O180" s="159" t="n">
        <f aca="false">O59</f>
        <v>-6</v>
      </c>
      <c r="P180" s="159" t="n">
        <f aca="false">P59</f>
        <v>-77</v>
      </c>
      <c r="Q180" s="159" t="n">
        <f aca="false">Q59</f>
        <v>-45</v>
      </c>
      <c r="R180" s="159" t="n">
        <f aca="false">R59</f>
        <v>-32</v>
      </c>
      <c r="S180" s="103"/>
      <c r="T180" s="159" t="n">
        <f aca="false">T59</f>
        <v>-77</v>
      </c>
      <c r="U180" s="159" t="n">
        <f aca="false">U59</f>
        <v>-58</v>
      </c>
      <c r="V180" s="159" t="n">
        <f aca="false">V59</f>
        <v>-19</v>
      </c>
      <c r="W180" s="103"/>
      <c r="X180" s="103"/>
      <c r="Y180" s="103"/>
      <c r="Z180" s="103"/>
      <c r="AA180" s="100" t="str">
        <f aca="false">A180</f>
        <v>      Change in Other Obligations</v>
      </c>
      <c r="AB180" s="159" t="n">
        <f aca="false">AB59</f>
        <v>-77</v>
      </c>
      <c r="AC180" s="159" t="n">
        <f aca="false">AC59</f>
        <v>-58</v>
      </c>
      <c r="AD180" s="143" t="n">
        <f aca="false">AB180-AC180</f>
        <v>-19</v>
      </c>
      <c r="AE180" s="103"/>
      <c r="AF180" s="159" t="n">
        <f aca="false">AF59</f>
        <v>-77</v>
      </c>
      <c r="AG180" s="159" t="n">
        <f aca="false">AG59</f>
        <v>-58</v>
      </c>
      <c r="AH180" s="159" t="n">
        <f aca="false">AH59</f>
        <v>-19</v>
      </c>
      <c r="AI180" s="103"/>
      <c r="AJ180" s="143" t="n">
        <f aca="false">AC180-AG180</f>
        <v>0</v>
      </c>
      <c r="AK180" s="143" t="n">
        <f aca="false">AB180-AF180</f>
        <v>0</v>
      </c>
      <c r="AL180" s="103"/>
      <c r="AM180" s="159" t="n">
        <f aca="false">AM59</f>
        <v>-77</v>
      </c>
      <c r="AN180" s="143" t="n">
        <f aca="false">AB180-AM180</f>
        <v>0</v>
      </c>
      <c r="AO180" s="103"/>
      <c r="AP180" s="159" t="n">
        <f aca="false">AP59</f>
        <v>-58</v>
      </c>
      <c r="AQ180" s="143" t="n">
        <f aca="false">AC180-AP180</f>
        <v>0</v>
      </c>
      <c r="AR180" s="103"/>
      <c r="AS180" s="103"/>
      <c r="AT180" s="103"/>
      <c r="AU180" s="103"/>
    </row>
    <row r="181" customFormat="false" ht="6" hidden="false" customHeight="true" outlineLevel="0" collapsed="false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0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</row>
    <row r="182" customFormat="false" ht="12.75" hidden="false" customHeight="true" outlineLevel="0" collapsed="false">
      <c r="A182" s="100" t="str">
        <f aca="false">A61</f>
        <v>INCREASE / (DECREASE) IN TOTAL OBLIGATIONS</v>
      </c>
      <c r="B182" s="103"/>
      <c r="C182" s="103"/>
      <c r="D182" s="169" t="n">
        <f aca="false">D178+D180</f>
        <v>31358</v>
      </c>
      <c r="E182" s="169" t="n">
        <f aca="false">E178+E180</f>
        <v>-29102</v>
      </c>
      <c r="F182" s="169" t="n">
        <f aca="false">F178+F180</f>
        <v>8287</v>
      </c>
      <c r="G182" s="169" t="n">
        <f aca="false">G178+G180</f>
        <v>47451</v>
      </c>
      <c r="H182" s="169" t="n">
        <f aca="false">H178+H180</f>
        <v>13338</v>
      </c>
      <c r="I182" s="169" t="n">
        <f aca="false">I178+I180</f>
        <v>-3739</v>
      </c>
      <c r="J182" s="169" t="n">
        <f aca="false">J178+J180</f>
        <v>11694</v>
      </c>
      <c r="K182" s="169" t="n">
        <f aca="false">K178+K180</f>
        <v>11443</v>
      </c>
      <c r="L182" s="169" t="n">
        <f aca="false">L178+L180</f>
        <v>-5407</v>
      </c>
      <c r="M182" s="169" t="n">
        <f aca="false">M178+M180</f>
        <v>-16606</v>
      </c>
      <c r="N182" s="169" t="n">
        <f aca="false">N178+N180</f>
        <v>-22007</v>
      </c>
      <c r="O182" s="169" t="n">
        <f aca="false">O178+O180</f>
        <v>-14306</v>
      </c>
      <c r="P182" s="169" t="n">
        <f aca="false">P178+P180</f>
        <v>32404</v>
      </c>
      <c r="Q182" s="169" t="n">
        <f aca="false">Q178+Q180</f>
        <v>79287</v>
      </c>
      <c r="R182" s="169" t="n">
        <f aca="false">R178+R180</f>
        <v>-46883</v>
      </c>
      <c r="S182" s="103"/>
      <c r="T182" s="169" t="n">
        <f aca="false">T178+T180</f>
        <v>38623</v>
      </c>
      <c r="U182" s="169" t="n">
        <f aca="false">U178+U180</f>
        <v>46842</v>
      </c>
      <c r="V182" s="169" t="n">
        <f aca="false">V178+V180</f>
        <v>-8219</v>
      </c>
      <c r="W182" s="103"/>
      <c r="X182" s="103"/>
      <c r="Y182" s="103"/>
      <c r="Z182" s="103"/>
      <c r="AA182" s="100" t="str">
        <f aca="false">A182</f>
        <v>INCREASE / (DECREASE) IN TOTAL OBLIGATIONS</v>
      </c>
      <c r="AB182" s="169" t="n">
        <f aca="false">AB178+AB180</f>
        <v>32404</v>
      </c>
      <c r="AC182" s="169" t="n">
        <f aca="false">AC178+AC180</f>
        <v>85323</v>
      </c>
      <c r="AD182" s="169" t="n">
        <f aca="false">AD178+AD180</f>
        <v>-52919</v>
      </c>
      <c r="AE182" s="103"/>
      <c r="AF182" s="169" t="n">
        <f aca="false">AF178+AF180</f>
        <v>38623</v>
      </c>
      <c r="AG182" s="169" t="n">
        <f aca="false">AG178+AG180</f>
        <v>46842</v>
      </c>
      <c r="AH182" s="169" t="n">
        <f aca="false">AH178+AH180</f>
        <v>-8219</v>
      </c>
      <c r="AI182" s="103"/>
      <c r="AJ182" s="169" t="n">
        <f aca="false">AJ178+AJ180</f>
        <v>38481</v>
      </c>
      <c r="AK182" s="169" t="n">
        <f aca="false">AK178+AK180</f>
        <v>-6219</v>
      </c>
      <c r="AL182" s="103"/>
      <c r="AM182" s="169" t="n">
        <f aca="false">AM178+AM180</f>
        <v>19412</v>
      </c>
      <c r="AN182" s="169" t="n">
        <f aca="false">AN178+AN180</f>
        <v>12992</v>
      </c>
      <c r="AO182" s="103"/>
      <c r="AP182" s="169" t="n">
        <f aca="false">AP178+AP180</f>
        <v>67481</v>
      </c>
      <c r="AQ182" s="169" t="n">
        <f aca="false">AQ178+AQ180</f>
        <v>17842</v>
      </c>
      <c r="AR182" s="103"/>
      <c r="AS182" s="103"/>
      <c r="AT182" s="103"/>
      <c r="AU182" s="103"/>
    </row>
    <row r="183" customFormat="false" ht="12.75" hidden="false" customHeight="true" outlineLevel="0" collapsed="false">
      <c r="A183" s="100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0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</row>
    <row r="184" customFormat="false" ht="12.75" hidden="false" customHeight="true" outlineLevel="0" collapsed="false">
      <c r="A184" s="103" t="str">
        <f aca="false">A109</f>
        <v>      CHECK #</v>
      </c>
      <c r="B184" s="103"/>
      <c r="C184" s="103"/>
      <c r="D184" s="157" t="n">
        <f aca="false">D61-D182</f>
        <v>0</v>
      </c>
      <c r="E184" s="157" t="n">
        <f aca="false">E61-E182</f>
        <v>0</v>
      </c>
      <c r="F184" s="157" t="n">
        <f aca="false">F61-F182</f>
        <v>0</v>
      </c>
      <c r="G184" s="157" t="n">
        <f aca="false">G61-G182</f>
        <v>0</v>
      </c>
      <c r="H184" s="157" t="n">
        <f aca="false">H61-H182</f>
        <v>0</v>
      </c>
      <c r="I184" s="157" t="n">
        <f aca="false">I61-I182</f>
        <v>0</v>
      </c>
      <c r="J184" s="157" t="n">
        <f aca="false">J61-J182</f>
        <v>0</v>
      </c>
      <c r="K184" s="157" t="n">
        <f aca="false">K61-K182</f>
        <v>0</v>
      </c>
      <c r="L184" s="157" t="n">
        <f aca="false">L61-L182</f>
        <v>0</v>
      </c>
      <c r="M184" s="157" t="n">
        <f aca="false">M61-M182</f>
        <v>0</v>
      </c>
      <c r="N184" s="157" t="n">
        <f aca="false">N61-N182</f>
        <v>0</v>
      </c>
      <c r="O184" s="157" t="n">
        <f aca="false">O61-O182</f>
        <v>0</v>
      </c>
      <c r="P184" s="157" t="n">
        <f aca="false">P61-P182</f>
        <v>0</v>
      </c>
      <c r="Q184" s="157" t="n">
        <f aca="false">Q61-Q182</f>
        <v>0</v>
      </c>
      <c r="R184" s="157" t="n">
        <f aca="false">R61-R182</f>
        <v>0</v>
      </c>
      <c r="S184" s="157"/>
      <c r="T184" s="157" t="n">
        <f aca="false">T61-T182</f>
        <v>0</v>
      </c>
      <c r="U184" s="157" t="n">
        <f aca="false">U61-U182</f>
        <v>0</v>
      </c>
      <c r="V184" s="157" t="n">
        <f aca="false">V61-V182</f>
        <v>0</v>
      </c>
      <c r="W184" s="103"/>
      <c r="X184" s="103"/>
      <c r="Y184" s="103"/>
      <c r="Z184" s="103"/>
      <c r="AA184" s="103" t="str">
        <f aca="false">A184</f>
        <v>      CHECK #</v>
      </c>
      <c r="AB184" s="157" t="n">
        <f aca="false">AB61-AB182</f>
        <v>0</v>
      </c>
      <c r="AC184" s="157" t="n">
        <f aca="false">AC61-AC182</f>
        <v>0</v>
      </c>
      <c r="AD184" s="157" t="n">
        <f aca="false">AD61-AD182</f>
        <v>0</v>
      </c>
      <c r="AE184" s="157"/>
      <c r="AF184" s="157" t="n">
        <f aca="false">AF61-AF182</f>
        <v>0</v>
      </c>
      <c r="AG184" s="157" t="n">
        <f aca="false">AG61-AG182</f>
        <v>0</v>
      </c>
      <c r="AH184" s="157" t="n">
        <f aca="false">AH61-AH182</f>
        <v>0</v>
      </c>
      <c r="AI184" s="157"/>
      <c r="AJ184" s="157" t="n">
        <f aca="false">AJ61-AJ182</f>
        <v>0</v>
      </c>
      <c r="AK184" s="157" t="n">
        <f aca="false">AK61-AK182</f>
        <v>0</v>
      </c>
      <c r="AL184" s="157"/>
      <c r="AM184" s="157" t="n">
        <f aca="false">AM61-AM182</f>
        <v>0</v>
      </c>
      <c r="AN184" s="157" t="n">
        <f aca="false">AN61-AN182</f>
        <v>0</v>
      </c>
      <c r="AO184" s="157"/>
      <c r="AP184" s="157" t="n">
        <f aca="false">AP61-AP182</f>
        <v>0</v>
      </c>
      <c r="AQ184" s="157" t="n">
        <f aca="false">AQ61-AQ182</f>
        <v>0</v>
      </c>
      <c r="AR184" s="103"/>
      <c r="AS184" s="103"/>
      <c r="AT184" s="103"/>
      <c r="AU184" s="103"/>
    </row>
    <row r="185" customFormat="false" ht="6" hidden="false" customHeight="true" outlineLevel="0" collapsed="false">
      <c r="A185" s="100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0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</row>
    <row r="186" customFormat="false" ht="12.75" hidden="false" customHeight="true" outlineLevel="0" collapsed="false">
      <c r="A186" s="100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0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</row>
    <row r="187" customFormat="false" ht="12.75" hidden="false" customHeight="true" outlineLevel="0" collapsed="false">
      <c r="A187" s="170" t="str">
        <f aca="false">A1</f>
        <v>'file:///mnt/12tb/@roms/datasets/enron/EDRM Enron Email Data Set v2 XML/filtered-attachments/xls/NNG3rdCECF.xls'#$BACKUP</v>
      </c>
      <c r="B187" s="171"/>
      <c r="C187" s="171"/>
      <c r="D187" s="171"/>
      <c r="E187" s="171"/>
      <c r="F187" s="171"/>
      <c r="G187" s="171"/>
      <c r="H187" s="171"/>
      <c r="I187" s="105" t="str">
        <f aca="false">I1</f>
        <v>NORTHERN NATURAL GAS GROUP</v>
      </c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2" t="n">
        <f aca="true">NOW()</f>
        <v>45926.9494835242</v>
      </c>
      <c r="W187" s="103"/>
      <c r="X187" s="103"/>
      <c r="Y187" s="103"/>
      <c r="Z187" s="103"/>
      <c r="AA187" s="104" t="str">
        <f aca="false">A1</f>
        <v>'file:///mnt/12tb/@roms/datasets/enron/EDRM Enron Email Data Set v2 XML/filtered-attachments/xls/NNG3rdCECF.xls'#$BACKUP</v>
      </c>
      <c r="AB187" s="103"/>
      <c r="AC187" s="103"/>
      <c r="AD187" s="105" t="str">
        <f aca="false">I1</f>
        <v>NORTHERN NATURAL GAS GROUP</v>
      </c>
      <c r="AE187" s="105"/>
      <c r="AF187" s="105"/>
      <c r="AG187" s="105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2" t="n">
        <f aca="true">NOW()</f>
        <v>45926.9494835243</v>
      </c>
      <c r="AR187" s="103"/>
      <c r="AS187" s="103"/>
      <c r="AT187" s="103"/>
      <c r="AU187" s="103"/>
    </row>
    <row r="188" customFormat="false" ht="12.75" hidden="false" customHeight="true" outlineLevel="0" collapsed="false">
      <c r="A188" s="107" t="s">
        <v>548</v>
      </c>
      <c r="B188" s="171"/>
      <c r="C188" s="171"/>
      <c r="D188" s="171"/>
      <c r="E188" s="171"/>
      <c r="F188" s="171"/>
      <c r="G188" s="171"/>
      <c r="H188" s="171"/>
      <c r="I188" s="108" t="s">
        <v>549</v>
      </c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9" t="n">
        <f aca="true">NOW()</f>
        <v>45926.9494835243</v>
      </c>
      <c r="W188" s="103"/>
      <c r="X188" s="103"/>
      <c r="Y188" s="103"/>
      <c r="Z188" s="103"/>
      <c r="AA188" s="107" t="s">
        <v>550</v>
      </c>
      <c r="AB188" s="103"/>
      <c r="AC188" s="103"/>
      <c r="AD188" s="105" t="str">
        <f aca="false">I188</f>
        <v>FUNDS FLOW STATEMENT - "OTHER"</v>
      </c>
      <c r="AE188" s="105"/>
      <c r="AF188" s="105"/>
      <c r="AG188" s="105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9" t="n">
        <f aca="true">NOW()</f>
        <v>45926.9494835244</v>
      </c>
      <c r="AR188" s="103"/>
      <c r="AS188" s="103"/>
      <c r="AT188" s="103"/>
      <c r="AU188" s="103"/>
    </row>
    <row r="189" customFormat="false" ht="12.75" hidden="false" customHeight="true" outlineLevel="0" collapsed="false">
      <c r="A189" s="171"/>
      <c r="B189" s="171"/>
      <c r="C189" s="171"/>
      <c r="D189" s="171"/>
      <c r="E189" s="171"/>
      <c r="F189" s="171"/>
      <c r="G189" s="171"/>
      <c r="H189" s="171"/>
      <c r="I189" s="105" t="str">
        <f aca="false">I3</f>
        <v>2001 ACTUAL / ESTIMATE</v>
      </c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3"/>
      <c r="W189" s="103"/>
      <c r="X189" s="103"/>
      <c r="Y189" s="103"/>
      <c r="Z189" s="103"/>
      <c r="AA189" s="100"/>
      <c r="AB189" s="103"/>
      <c r="AC189" s="103"/>
      <c r="AD189" s="105" t="str">
        <f aca="false">I3</f>
        <v>2001 ACTUAL / ESTIMATE</v>
      </c>
      <c r="AE189" s="105"/>
      <c r="AF189" s="105"/>
      <c r="AG189" s="105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</row>
    <row r="190" customFormat="false" ht="12.75" hidden="false" customHeight="true" outlineLevel="0" collapsed="false">
      <c r="A190" s="171"/>
      <c r="B190" s="171"/>
      <c r="C190" s="171"/>
      <c r="D190" s="171"/>
      <c r="E190" s="171"/>
      <c r="F190" s="171"/>
      <c r="G190" s="171"/>
      <c r="H190" s="171"/>
      <c r="I190" s="105" t="str">
        <f aca="false">I4</f>
        <v>(Thousands of Dollars)</v>
      </c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3"/>
      <c r="W190" s="103"/>
      <c r="X190" s="103"/>
      <c r="Y190" s="103"/>
      <c r="Z190" s="103"/>
      <c r="AA190" s="100"/>
      <c r="AB190" s="103"/>
      <c r="AC190" s="103"/>
      <c r="AD190" s="105" t="str">
        <f aca="false">I4</f>
        <v>(Thousands of Dollars)</v>
      </c>
      <c r="AE190" s="105"/>
      <c r="AF190" s="105"/>
      <c r="AG190" s="105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</row>
    <row r="191" customFormat="false" ht="12.75" hidden="false" customHeight="true" outlineLevel="0" collapsed="false">
      <c r="A191" s="172"/>
      <c r="B191" s="172"/>
      <c r="C191" s="172"/>
      <c r="D191" s="120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20" t="n">
        <f aca="false">T5</f>
        <v>0</v>
      </c>
      <c r="U191" s="171"/>
      <c r="V191" s="120" t="n">
        <f aca="false">V5</f>
        <v>0</v>
      </c>
      <c r="W191" s="103"/>
      <c r="X191" s="103"/>
      <c r="Y191" s="103"/>
      <c r="Z191" s="103"/>
      <c r="AA191" s="100"/>
      <c r="AB191" s="103"/>
      <c r="AC191" s="103"/>
      <c r="AD191" s="103"/>
      <c r="AE191" s="103"/>
      <c r="AF191" s="120" t="n">
        <f aca="false">AF5</f>
        <v>0</v>
      </c>
      <c r="AG191" s="103"/>
      <c r="AH191" s="120" t="n">
        <f aca="false">AH5</f>
        <v>0</v>
      </c>
      <c r="AI191" s="103"/>
      <c r="AJ191" s="103"/>
      <c r="AK191" s="120" t="n">
        <f aca="false">AK5</f>
        <v>0</v>
      </c>
      <c r="AL191" s="103"/>
      <c r="AM191" s="103"/>
      <c r="AN191" s="103"/>
      <c r="AO191" s="103"/>
      <c r="AP191" s="105"/>
      <c r="AQ191" s="153"/>
      <c r="AR191" s="103"/>
      <c r="AS191" s="103"/>
      <c r="AT191" s="103"/>
      <c r="AU191" s="103"/>
    </row>
    <row r="192" customFormat="false" ht="12.75" hidden="false" customHeight="true" outlineLevel="0" collapsed="false">
      <c r="A192" s="172"/>
      <c r="B192" s="172"/>
      <c r="C192" s="172"/>
      <c r="D192" s="120" t="str">
        <f aca="false">D6</f>
        <v>ACT.</v>
      </c>
      <c r="E192" s="120" t="str">
        <f aca="false">E6</f>
        <v>ACT.</v>
      </c>
      <c r="F192" s="120" t="str">
        <f aca="false">F6</f>
        <v>ACT.</v>
      </c>
      <c r="G192" s="120" t="str">
        <f aca="false">G6</f>
        <v>ACT.</v>
      </c>
      <c r="H192" s="120" t="str">
        <f aca="false">H6</f>
        <v>ACT.</v>
      </c>
      <c r="I192" s="120" t="str">
        <f aca="false">I6</f>
        <v>ACT.</v>
      </c>
      <c r="J192" s="120" t="str">
        <f aca="false">J6</f>
        <v>ACT.</v>
      </c>
      <c r="K192" s="120" t="str">
        <f aca="false">K6</f>
        <v>ACT.</v>
      </c>
      <c r="L192" s="120" t="str">
        <f aca="false">L6</f>
        <v>3rd CE</v>
      </c>
      <c r="M192" s="120" t="str">
        <f aca="false">M6</f>
        <v>3rd CE</v>
      </c>
      <c r="N192" s="120" t="str">
        <f aca="false">N6</f>
        <v>3rd CE</v>
      </c>
      <c r="O192" s="120" t="str">
        <f aca="false">O6</f>
        <v>3rd CE</v>
      </c>
      <c r="P192" s="120" t="str">
        <f aca="false">P6</f>
        <v>TOTAL</v>
      </c>
      <c r="Q192" s="120" t="str">
        <f aca="false">Q6</f>
        <v>JULY</v>
      </c>
      <c r="R192" s="120" t="str">
        <f aca="false">R6</f>
        <v>ESTIMATED</v>
      </c>
      <c r="S192" s="171"/>
      <c r="T192" s="120" t="str">
        <f aca="false">T6</f>
        <v>PLAN</v>
      </c>
      <c r="U192" s="120" t="str">
        <f aca="false">U6</f>
        <v>SEPT.</v>
      </c>
      <c r="V192" s="120" t="str">
        <f aca="false">V6</f>
        <v>PLAN</v>
      </c>
      <c r="W192" s="103"/>
      <c r="X192" s="103"/>
      <c r="Y192" s="103"/>
      <c r="Z192" s="103"/>
      <c r="AA192" s="100"/>
      <c r="AB192" s="120" t="str">
        <f aca="false">AB6</f>
        <v>TOTAL</v>
      </c>
      <c r="AC192" s="120" t="str">
        <f aca="false">AC6</f>
        <v>SEPT.</v>
      </c>
      <c r="AD192" s="120" t="str">
        <f aca="false">AD6</f>
        <v>ESTIMATED</v>
      </c>
      <c r="AE192" s="103"/>
      <c r="AF192" s="120" t="str">
        <f aca="false">AF6</f>
        <v>PLAN</v>
      </c>
      <c r="AG192" s="120" t="str">
        <f aca="false">AG6</f>
        <v>SEPT.</v>
      </c>
      <c r="AH192" s="120" t="str">
        <f aca="false">AH6</f>
        <v>PLAN</v>
      </c>
      <c r="AI192" s="103"/>
      <c r="AJ192" s="156" t="str">
        <f aca="false">AJ6</f>
        <v>ACT./EST. vs. PLAN</v>
      </c>
      <c r="AK192" s="156"/>
      <c r="AL192" s="103"/>
      <c r="AM192" s="156" t="str">
        <f aca="false">AM6</f>
        <v>2nd C.E.</v>
      </c>
      <c r="AN192" s="156"/>
      <c r="AO192" s="103"/>
      <c r="AP192" s="156" t="str">
        <f aca="false">AP6</f>
        <v>Sept. YTD</v>
      </c>
      <c r="AQ192" s="156"/>
      <c r="AR192" s="103"/>
      <c r="AS192" s="103"/>
      <c r="AT192" s="103"/>
      <c r="AU192" s="103"/>
    </row>
    <row r="193" customFormat="false" ht="12.75" hidden="false" customHeight="true" outlineLevel="0" collapsed="false">
      <c r="A193" s="172"/>
      <c r="B193" s="172"/>
      <c r="C193" s="172"/>
      <c r="D193" s="126" t="str">
        <f aca="false">D7</f>
        <v>JAN</v>
      </c>
      <c r="E193" s="126" t="str">
        <f aca="false">E7</f>
        <v>FEB</v>
      </c>
      <c r="F193" s="126" t="str">
        <f aca="false">F7</f>
        <v>MAR</v>
      </c>
      <c r="G193" s="126" t="str">
        <f aca="false">G7</f>
        <v>APR</v>
      </c>
      <c r="H193" s="126" t="str">
        <f aca="false">H7</f>
        <v>MAY</v>
      </c>
      <c r="I193" s="126" t="str">
        <f aca="false">I7</f>
        <v>JUN</v>
      </c>
      <c r="J193" s="126" t="str">
        <f aca="false">J7</f>
        <v>JUL</v>
      </c>
      <c r="K193" s="126" t="str">
        <f aca="false">K7</f>
        <v>AUG</v>
      </c>
      <c r="L193" s="126" t="str">
        <f aca="false">L7</f>
        <v>SEP</v>
      </c>
      <c r="M193" s="126" t="str">
        <f aca="false">M7</f>
        <v>OCT</v>
      </c>
      <c r="N193" s="126" t="str">
        <f aca="false">N7</f>
        <v>NOV</v>
      </c>
      <c r="O193" s="126" t="str">
        <f aca="false">O7</f>
        <v>DEC</v>
      </c>
      <c r="P193" s="126" t="n">
        <f aca="false">P7</f>
        <v>2001</v>
      </c>
      <c r="Q193" s="126" t="str">
        <f aca="false">Q7</f>
        <v>Y-T-D</v>
      </c>
      <c r="R193" s="126" t="str">
        <f aca="false">R7</f>
        <v>R.M.</v>
      </c>
      <c r="S193" s="171"/>
      <c r="T193" s="126" t="n">
        <f aca="false">T7</f>
        <v>2001</v>
      </c>
      <c r="U193" s="126" t="str">
        <f aca="false">U7</f>
        <v>Y-T-D</v>
      </c>
      <c r="V193" s="126" t="str">
        <f aca="false">V7</f>
        <v>R.M.</v>
      </c>
      <c r="W193" s="103"/>
      <c r="X193" s="103"/>
      <c r="Y193" s="103"/>
      <c r="Z193" s="103"/>
      <c r="AA193" s="100"/>
      <c r="AB193" s="126" t="n">
        <f aca="false">AB7</f>
        <v>2001</v>
      </c>
      <c r="AC193" s="126" t="str">
        <f aca="false">AC7</f>
        <v>Y-T-D</v>
      </c>
      <c r="AD193" s="126" t="str">
        <f aca="false">AD7</f>
        <v>R.M.</v>
      </c>
      <c r="AE193" s="103"/>
      <c r="AF193" s="126" t="n">
        <f aca="false">AF7</f>
        <v>2001</v>
      </c>
      <c r="AG193" s="126" t="str">
        <f aca="false">AG7</f>
        <v>Y-T-D</v>
      </c>
      <c r="AH193" s="126" t="str">
        <f aca="false">AH7</f>
        <v>R.M.</v>
      </c>
      <c r="AI193" s="103"/>
      <c r="AJ193" s="126" t="str">
        <f aca="false">AJ7</f>
        <v>Y-T-D</v>
      </c>
      <c r="AK193" s="126" t="str">
        <f aca="false">AK7</f>
        <v>ANNUAL</v>
      </c>
      <c r="AL193" s="103"/>
      <c r="AM193" s="126" t="str">
        <f aca="false">AM7</f>
        <v>ANNUAL</v>
      </c>
      <c r="AN193" s="126" t="str">
        <f aca="false">AN7</f>
        <v>Variance</v>
      </c>
      <c r="AO193" s="103"/>
      <c r="AP193" s="126" t="str">
        <f aca="false">AP7</f>
        <v>2nd C.E.</v>
      </c>
      <c r="AQ193" s="126" t="str">
        <f aca="false">AQ7</f>
        <v>Variance</v>
      </c>
      <c r="AR193" s="103"/>
      <c r="AS193" s="103"/>
      <c r="AT193" s="103"/>
      <c r="AU193" s="103"/>
    </row>
    <row r="194" customFormat="false" ht="12.75" hidden="false" customHeight="true" outlineLevel="0" collapsed="false">
      <c r="A194" s="173" t="s">
        <v>551</v>
      </c>
      <c r="B194" s="172"/>
      <c r="C194" s="172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03"/>
      <c r="W194" s="103"/>
      <c r="X194" s="103"/>
      <c r="Y194" s="103"/>
      <c r="Z194" s="103"/>
      <c r="AA194" s="165" t="str">
        <f aca="false">A194</f>
        <v> " OTHER "</v>
      </c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</row>
    <row r="195" customFormat="false" ht="12.75" hidden="false" customHeight="true" outlineLevel="0" collapsed="false">
      <c r="A195" s="174" t="s">
        <v>552</v>
      </c>
      <c r="B195" s="172"/>
      <c r="C195" s="172"/>
      <c r="D195" s="175" t="n">
        <f aca="false">-D343</f>
        <v>-2772</v>
      </c>
      <c r="E195" s="175" t="n">
        <f aca="false">-E343</f>
        <v>3495</v>
      </c>
      <c r="F195" s="175" t="n">
        <f aca="false">-F343</f>
        <v>346</v>
      </c>
      <c r="G195" s="175" t="n">
        <f aca="false">-G343</f>
        <v>1502</v>
      </c>
      <c r="H195" s="175" t="n">
        <f aca="false">-H343</f>
        <v>4305</v>
      </c>
      <c r="I195" s="175" t="n">
        <f aca="false">-I343</f>
        <v>3265</v>
      </c>
      <c r="J195" s="175" t="n">
        <f aca="false">-J343</f>
        <v>3422</v>
      </c>
      <c r="K195" s="175" t="n">
        <f aca="false">-K343</f>
        <v>341</v>
      </c>
      <c r="L195" s="175" t="n">
        <f aca="false">-L343</f>
        <v>418</v>
      </c>
      <c r="M195" s="175" t="n">
        <f aca="false">-M343</f>
        <v>317</v>
      </c>
      <c r="N195" s="175" t="n">
        <f aca="false">-N343</f>
        <v>918</v>
      </c>
      <c r="O195" s="175" t="n">
        <f aca="false">-O343</f>
        <v>-9786</v>
      </c>
      <c r="P195" s="130" t="n">
        <f aca="false">SUM(D195:O195)</f>
        <v>5771</v>
      </c>
      <c r="Q195" s="131" t="n">
        <f aca="false">SUM(D195:J195)</f>
        <v>13563</v>
      </c>
      <c r="R195" s="130" t="n">
        <f aca="false">P195-Q195</f>
        <v>-7792</v>
      </c>
      <c r="S195" s="171"/>
      <c r="T195" s="131" t="n">
        <v>3321</v>
      </c>
      <c r="U195" s="131" t="n">
        <v>3854</v>
      </c>
      <c r="V195" s="130" t="n">
        <f aca="false">T195-U195</f>
        <v>-533</v>
      </c>
      <c r="W195" s="103"/>
      <c r="X195" s="103"/>
      <c r="Y195" s="103"/>
      <c r="Z195" s="103"/>
      <c r="AA195" s="103" t="str">
        <f aca="false">A195</f>
        <v>   Change in Other Regulatory Assets</v>
      </c>
      <c r="AB195" s="157" t="n">
        <f aca="false">P195</f>
        <v>5771</v>
      </c>
      <c r="AC195" s="131" t="n">
        <f aca="false">SUM(D195:L195)</f>
        <v>14322</v>
      </c>
      <c r="AD195" s="130" t="n">
        <f aca="false">AB195-AC195</f>
        <v>-8551</v>
      </c>
      <c r="AE195" s="103"/>
      <c r="AF195" s="130" t="n">
        <f aca="false">T195</f>
        <v>3321</v>
      </c>
      <c r="AG195" s="130" t="n">
        <f aca="false">U195</f>
        <v>3854</v>
      </c>
      <c r="AH195" s="130" t="n">
        <f aca="false">AF195-AG195</f>
        <v>-533</v>
      </c>
      <c r="AI195" s="103"/>
      <c r="AJ195" s="130" t="n">
        <f aca="false">AC195-AG195</f>
        <v>10468</v>
      </c>
      <c r="AK195" s="130" t="n">
        <f aca="false">AB195-AF195</f>
        <v>2450</v>
      </c>
      <c r="AL195" s="103"/>
      <c r="AM195" s="131" t="n">
        <v>810</v>
      </c>
      <c r="AN195" s="130" t="n">
        <f aca="false">AB195-AM195</f>
        <v>4961</v>
      </c>
      <c r="AO195" s="103"/>
      <c r="AP195" s="131" t="n">
        <v>11376</v>
      </c>
      <c r="AQ195" s="130" t="n">
        <f aca="false">AC195-AP195</f>
        <v>2946</v>
      </c>
      <c r="AR195" s="103"/>
      <c r="AS195" s="103"/>
      <c r="AT195" s="103"/>
      <c r="AU195" s="103"/>
    </row>
    <row r="196" customFormat="false" ht="12.75" hidden="false" customHeight="true" outlineLevel="0" collapsed="false">
      <c r="A196" s="174" t="s">
        <v>553</v>
      </c>
      <c r="B196" s="172"/>
      <c r="C196" s="172"/>
      <c r="D196" s="176" t="n">
        <f aca="false">D346</f>
        <v>0</v>
      </c>
      <c r="E196" s="176" t="n">
        <f aca="false">E346</f>
        <v>0</v>
      </c>
      <c r="F196" s="176" t="n">
        <f aca="false">F346</f>
        <v>0</v>
      </c>
      <c r="G196" s="176" t="n">
        <f aca="false">G346</f>
        <v>0</v>
      </c>
      <c r="H196" s="176" t="n">
        <f aca="false">H346</f>
        <v>0</v>
      </c>
      <c r="I196" s="176" t="n">
        <f aca="false">I346</f>
        <v>0</v>
      </c>
      <c r="J196" s="176" t="n">
        <f aca="false">J346</f>
        <v>0</v>
      </c>
      <c r="K196" s="176" t="n">
        <f aca="false">K346</f>
        <v>0</v>
      </c>
      <c r="L196" s="176" t="n">
        <f aca="false">L346</f>
        <v>0</v>
      </c>
      <c r="M196" s="176" t="n">
        <f aca="false">M346</f>
        <v>0</v>
      </c>
      <c r="N196" s="176" t="n">
        <f aca="false">N346</f>
        <v>0</v>
      </c>
      <c r="O196" s="176" t="n">
        <f aca="false">O346</f>
        <v>0</v>
      </c>
      <c r="P196" s="143" t="n">
        <f aca="false">SUM(D196:O196)</f>
        <v>0</v>
      </c>
      <c r="Q196" s="140" t="n">
        <f aca="false">SUM(D196:J196)</f>
        <v>0</v>
      </c>
      <c r="R196" s="143" t="n">
        <f aca="false">P196-Q196</f>
        <v>0</v>
      </c>
      <c r="S196" s="177"/>
      <c r="T196" s="140" t="n">
        <v>0</v>
      </c>
      <c r="U196" s="140" t="n">
        <v>0</v>
      </c>
      <c r="V196" s="143" t="n">
        <f aca="false">T196-U196</f>
        <v>0</v>
      </c>
      <c r="W196" s="103"/>
      <c r="X196" s="103"/>
      <c r="Y196" s="103"/>
      <c r="Z196" s="103"/>
      <c r="AA196" s="103" t="str">
        <f aca="false">A196</f>
        <v>         "     "      "           "        Liabilities</v>
      </c>
      <c r="AB196" s="159" t="n">
        <f aca="false">P196</f>
        <v>0</v>
      </c>
      <c r="AC196" s="140" t="n">
        <f aca="false">SUM(D196:L196)</f>
        <v>0</v>
      </c>
      <c r="AD196" s="143" t="n">
        <f aca="false">AB196-AC196</f>
        <v>0</v>
      </c>
      <c r="AE196" s="103"/>
      <c r="AF196" s="143" t="n">
        <f aca="false">T196</f>
        <v>0</v>
      </c>
      <c r="AG196" s="143" t="n">
        <f aca="false">U196</f>
        <v>0</v>
      </c>
      <c r="AH196" s="143" t="n">
        <f aca="false">AF196-AG196</f>
        <v>0</v>
      </c>
      <c r="AI196" s="103"/>
      <c r="AJ196" s="143" t="n">
        <f aca="false">AC196-AG196</f>
        <v>0</v>
      </c>
      <c r="AK196" s="143" t="n">
        <f aca="false">AB196-AF196</f>
        <v>0</v>
      </c>
      <c r="AL196" s="103"/>
      <c r="AM196" s="140" t="n">
        <v>0</v>
      </c>
      <c r="AN196" s="143" t="n">
        <f aca="false">AB196-AM196</f>
        <v>0</v>
      </c>
      <c r="AO196" s="160"/>
      <c r="AP196" s="140" t="n">
        <v>0</v>
      </c>
      <c r="AQ196" s="143" t="n">
        <f aca="false">AC196-AP196</f>
        <v>0</v>
      </c>
      <c r="AR196" s="103"/>
      <c r="AS196" s="103"/>
      <c r="AT196" s="103"/>
      <c r="AU196" s="103"/>
    </row>
    <row r="197" customFormat="false" ht="3.95" hidden="false" customHeight="true" outlineLevel="0" collapsed="false">
      <c r="A197" s="174"/>
      <c r="B197" s="172"/>
      <c r="C197" s="172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1"/>
      <c r="Q197" s="171"/>
      <c r="R197" s="171"/>
      <c r="S197" s="171"/>
      <c r="T197" s="171"/>
      <c r="U197" s="171"/>
      <c r="V197" s="103"/>
      <c r="W197" s="103"/>
      <c r="X197" s="103"/>
      <c r="Y197" s="103"/>
      <c r="Z197" s="103"/>
      <c r="AA197" s="100"/>
      <c r="AB197" s="103"/>
      <c r="AC197" s="160"/>
      <c r="AD197" s="160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</row>
    <row r="198" customFormat="false" ht="12.75" hidden="false" customHeight="true" outlineLevel="0" collapsed="false">
      <c r="A198" s="179" t="s">
        <v>554</v>
      </c>
      <c r="B198" s="180"/>
      <c r="C198" s="180"/>
      <c r="D198" s="181" t="n">
        <f aca="false">D195+D196</f>
        <v>-2772</v>
      </c>
      <c r="E198" s="181" t="n">
        <f aca="false">E195+E196</f>
        <v>3495</v>
      </c>
      <c r="F198" s="181" t="n">
        <f aca="false">F195+F196</f>
        <v>346</v>
      </c>
      <c r="G198" s="181" t="n">
        <f aca="false">G195+G196</f>
        <v>1502</v>
      </c>
      <c r="H198" s="181" t="n">
        <f aca="false">H195+H196</f>
        <v>4305</v>
      </c>
      <c r="I198" s="181" t="n">
        <f aca="false">I195+I196</f>
        <v>3265</v>
      </c>
      <c r="J198" s="181" t="n">
        <f aca="false">J195+J196</f>
        <v>3422</v>
      </c>
      <c r="K198" s="181" t="n">
        <f aca="false">K195+K196</f>
        <v>341</v>
      </c>
      <c r="L198" s="181" t="n">
        <f aca="false">L195+L196</f>
        <v>418</v>
      </c>
      <c r="M198" s="181" t="n">
        <f aca="false">M195+M196</f>
        <v>317</v>
      </c>
      <c r="N198" s="181" t="n">
        <f aca="false">N195+N196</f>
        <v>918</v>
      </c>
      <c r="O198" s="181" t="n">
        <f aca="false">O195+O196</f>
        <v>-9786</v>
      </c>
      <c r="P198" s="181" t="n">
        <f aca="false">P195+P196</f>
        <v>5771</v>
      </c>
      <c r="Q198" s="181" t="n">
        <f aca="false">Q195+Q196</f>
        <v>13563</v>
      </c>
      <c r="R198" s="181" t="n">
        <f aca="false">R195+R196</f>
        <v>-7792</v>
      </c>
      <c r="S198" s="171"/>
      <c r="T198" s="181" t="n">
        <f aca="false">T195+T196</f>
        <v>3321</v>
      </c>
      <c r="U198" s="181" t="n">
        <f aca="false">U195+U196</f>
        <v>3854</v>
      </c>
      <c r="V198" s="181" t="n">
        <f aca="false">V195+V196</f>
        <v>-533</v>
      </c>
      <c r="W198" s="103"/>
      <c r="X198" s="103"/>
      <c r="Y198" s="103"/>
      <c r="Z198" s="103"/>
      <c r="AA198" s="100" t="str">
        <f aca="false">A198</f>
        <v>      Net Change in Regulatory Assets / Liabilities</v>
      </c>
      <c r="AB198" s="181" t="n">
        <f aca="false">AB195+AB196</f>
        <v>5771</v>
      </c>
      <c r="AC198" s="181" t="n">
        <f aca="false">AC195+AC196</f>
        <v>14322</v>
      </c>
      <c r="AD198" s="181" t="n">
        <f aca="false">AD195+AD196</f>
        <v>-8551</v>
      </c>
      <c r="AE198" s="103"/>
      <c r="AF198" s="181" t="n">
        <f aca="false">AF195+AF196</f>
        <v>3321</v>
      </c>
      <c r="AG198" s="181" t="n">
        <f aca="false">AG195+AG196</f>
        <v>3854</v>
      </c>
      <c r="AH198" s="181" t="n">
        <f aca="false">AH195+AH196</f>
        <v>-533</v>
      </c>
      <c r="AI198" s="103"/>
      <c r="AJ198" s="181" t="n">
        <f aca="false">AJ195+AJ196</f>
        <v>10468</v>
      </c>
      <c r="AK198" s="181" t="n">
        <f aca="false">AK195+AK196</f>
        <v>2450</v>
      </c>
      <c r="AL198" s="103"/>
      <c r="AM198" s="182" t="n">
        <f aca="false">AM195+AM196</f>
        <v>810</v>
      </c>
      <c r="AN198" s="182" t="n">
        <f aca="false">AN195+AN196</f>
        <v>4961</v>
      </c>
      <c r="AO198" s="103"/>
      <c r="AP198" s="182" t="n">
        <f aca="false">AP195+AP196</f>
        <v>11376</v>
      </c>
      <c r="AQ198" s="182" t="n">
        <f aca="false">AQ195+AQ196</f>
        <v>2946</v>
      </c>
      <c r="AR198" s="103"/>
      <c r="AS198" s="103"/>
      <c r="AT198" s="103"/>
      <c r="AU198" s="103"/>
    </row>
    <row r="199" customFormat="false" ht="6" hidden="false" customHeight="true" outlineLevel="0" collapsed="false">
      <c r="A199" s="174"/>
      <c r="B199" s="172"/>
      <c r="C199" s="172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  <c r="U199" s="171"/>
      <c r="V199" s="103"/>
      <c r="W199" s="103"/>
      <c r="X199" s="103"/>
      <c r="Y199" s="103"/>
      <c r="Z199" s="103"/>
      <c r="AA199" s="100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</row>
    <row r="200" customFormat="false" ht="12.75" hidden="false" customHeight="true" outlineLevel="0" collapsed="false">
      <c r="A200" s="183" t="s">
        <v>555</v>
      </c>
      <c r="B200" s="172"/>
      <c r="C200" s="172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  <c r="U200" s="171"/>
      <c r="V200" s="103"/>
      <c r="W200" s="103"/>
      <c r="X200" s="103"/>
      <c r="Y200" s="103"/>
      <c r="Z200" s="103"/>
      <c r="AA200" s="103" t="str">
        <f aca="false">A200</f>
        <v>   Other Items (Cash Flow Model)</v>
      </c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</row>
    <row r="201" customFormat="false" ht="12.75" hidden="false" customHeight="true" outlineLevel="0" collapsed="false">
      <c r="A201" s="174" t="s">
        <v>556</v>
      </c>
      <c r="B201" s="172"/>
      <c r="C201" s="172"/>
      <c r="D201" s="175" t="n">
        <f aca="false">-D258</f>
        <v>-0</v>
      </c>
      <c r="E201" s="175" t="n">
        <f aca="false">-E258</f>
        <v>-0</v>
      </c>
      <c r="F201" s="175" t="n">
        <f aca="false">-F258</f>
        <v>-0</v>
      </c>
      <c r="G201" s="175" t="n">
        <f aca="false">-G258</f>
        <v>-0</v>
      </c>
      <c r="H201" s="175" t="n">
        <f aca="false">-H258</f>
        <v>-0</v>
      </c>
      <c r="I201" s="175" t="n">
        <f aca="false">-I258</f>
        <v>-0</v>
      </c>
      <c r="J201" s="175" t="n">
        <f aca="false">-J258</f>
        <v>-0</v>
      </c>
      <c r="K201" s="175" t="n">
        <f aca="false">-K258</f>
        <v>-0</v>
      </c>
      <c r="L201" s="175" t="n">
        <f aca="false">-L258</f>
        <v>-0</v>
      </c>
      <c r="M201" s="175" t="n">
        <f aca="false">-M258</f>
        <v>-0</v>
      </c>
      <c r="N201" s="175" t="n">
        <f aca="false">-N258</f>
        <v>-0</v>
      </c>
      <c r="O201" s="175" t="n">
        <f aca="false">-O258</f>
        <v>-0</v>
      </c>
      <c r="P201" s="130" t="n">
        <f aca="false">SUM(D201:O201)</f>
        <v>0</v>
      </c>
      <c r="Q201" s="131" t="n">
        <f aca="false">SUM(D201:J201)</f>
        <v>0</v>
      </c>
      <c r="R201" s="130" t="n">
        <f aca="false">P201-Q201</f>
        <v>0</v>
      </c>
      <c r="S201" s="171"/>
      <c r="T201" s="131" t="n">
        <v>0</v>
      </c>
      <c r="U201" s="131" t="n">
        <v>0</v>
      </c>
      <c r="V201" s="130" t="n">
        <f aca="false">T201-U201</f>
        <v>0</v>
      </c>
      <c r="W201" s="103"/>
      <c r="X201" s="103"/>
      <c r="Y201" s="103"/>
      <c r="Z201" s="103"/>
      <c r="AA201" s="103" t="str">
        <f aca="false">A201</f>
        <v>      Change in Cash / Temporary Cash Investments</v>
      </c>
      <c r="AB201" s="157" t="n">
        <f aca="false">P201</f>
        <v>0</v>
      </c>
      <c r="AC201" s="131" t="n">
        <f aca="false">SUM(D201:L201)</f>
        <v>0</v>
      </c>
      <c r="AD201" s="130" t="n">
        <f aca="false">AB201-AC201</f>
        <v>0</v>
      </c>
      <c r="AE201" s="103"/>
      <c r="AF201" s="130" t="n">
        <f aca="false">T201</f>
        <v>0</v>
      </c>
      <c r="AG201" s="130" t="n">
        <f aca="false">U201</f>
        <v>0</v>
      </c>
      <c r="AH201" s="130" t="n">
        <f aca="false">AF201-AG201</f>
        <v>0</v>
      </c>
      <c r="AI201" s="103"/>
      <c r="AJ201" s="130" t="n">
        <f aca="false">AC201-AG201</f>
        <v>0</v>
      </c>
      <c r="AK201" s="130" t="n">
        <f aca="false">AB201-AF201</f>
        <v>0</v>
      </c>
      <c r="AL201" s="103"/>
      <c r="AM201" s="131" t="n">
        <v>0</v>
      </c>
      <c r="AN201" s="130" t="n">
        <f aca="false">AB201-AM201</f>
        <v>0</v>
      </c>
      <c r="AO201" s="103"/>
      <c r="AP201" s="131" t="n">
        <v>0</v>
      </c>
      <c r="AQ201" s="130" t="n">
        <f aca="false">AC201-AP201</f>
        <v>0</v>
      </c>
      <c r="AR201" s="103"/>
      <c r="AS201" s="103"/>
      <c r="AT201" s="103"/>
      <c r="AU201" s="103"/>
    </row>
    <row r="202" customFormat="false" ht="3.95" hidden="false" customHeight="true" outlineLevel="0" collapsed="false">
      <c r="A202" s="183"/>
      <c r="B202" s="172"/>
      <c r="C202" s="172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  <c r="U202" s="171"/>
      <c r="V202" s="103"/>
      <c r="W202" s="103"/>
      <c r="X202" s="103"/>
      <c r="Y202" s="103"/>
      <c r="Z202" s="103"/>
      <c r="AA202" s="100"/>
      <c r="AB202" s="103"/>
      <c r="AC202" s="103"/>
      <c r="AD202" s="103"/>
      <c r="AE202" s="103"/>
      <c r="AF202" s="103"/>
      <c r="AG202" s="171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</row>
    <row r="203" customFormat="false" ht="12.75" hidden="false" customHeight="true" outlineLevel="0" collapsed="false">
      <c r="A203" s="132" t="s">
        <v>557</v>
      </c>
      <c r="B203" s="184" t="s">
        <v>558</v>
      </c>
      <c r="C203" s="172"/>
      <c r="D203" s="185" t="n">
        <v>0</v>
      </c>
      <c r="E203" s="185" t="n">
        <v>0</v>
      </c>
      <c r="F203" s="185" t="n">
        <v>0</v>
      </c>
      <c r="G203" s="185" t="n">
        <v>0</v>
      </c>
      <c r="H203" s="185" t="n">
        <v>0</v>
      </c>
      <c r="I203" s="185" t="n">
        <v>0</v>
      </c>
      <c r="J203" s="185" t="n">
        <v>0</v>
      </c>
      <c r="K203" s="185" t="n">
        <v>0</v>
      </c>
      <c r="L203" s="185" t="n">
        <v>0</v>
      </c>
      <c r="M203" s="185" t="n">
        <v>0</v>
      </c>
      <c r="N203" s="185" t="n">
        <v>0</v>
      </c>
      <c r="O203" s="185" t="n">
        <v>0</v>
      </c>
      <c r="P203" s="130" t="n">
        <f aca="false">SUM(D203:O203)</f>
        <v>0</v>
      </c>
      <c r="Q203" s="131" t="n">
        <f aca="false">SUM(D203:J203)</f>
        <v>0</v>
      </c>
      <c r="R203" s="130" t="n">
        <f aca="false">P203-Q203</f>
        <v>0</v>
      </c>
      <c r="S203" s="171"/>
      <c r="T203" s="131" t="n">
        <v>0</v>
      </c>
      <c r="U203" s="131" t="n">
        <v>0</v>
      </c>
      <c r="V203" s="130" t="n">
        <f aca="false">T203-U203</f>
        <v>0</v>
      </c>
      <c r="W203" s="103"/>
      <c r="X203" s="103"/>
      <c r="Y203" s="103"/>
      <c r="Z203" s="103"/>
      <c r="AA203" s="103" t="str">
        <f aca="false">A203</f>
        <v>      Change in Invest. &amp; Other Assets</v>
      </c>
      <c r="AB203" s="157" t="n">
        <f aca="false">P203</f>
        <v>0</v>
      </c>
      <c r="AC203" s="131" t="n">
        <f aca="false">SUM(D203:L203)</f>
        <v>0</v>
      </c>
      <c r="AD203" s="130" t="n">
        <f aca="false">AB203-AC203</f>
        <v>0</v>
      </c>
      <c r="AE203" s="103"/>
      <c r="AF203" s="130" t="n">
        <f aca="false">T203</f>
        <v>0</v>
      </c>
      <c r="AG203" s="130" t="n">
        <f aca="false">U203</f>
        <v>0</v>
      </c>
      <c r="AH203" s="130" t="n">
        <f aca="false">AF203-AG203</f>
        <v>0</v>
      </c>
      <c r="AI203" s="103"/>
      <c r="AJ203" s="130" t="n">
        <f aca="false">AC203-AG203</f>
        <v>0</v>
      </c>
      <c r="AK203" s="130" t="n">
        <f aca="false">AB203-AF203</f>
        <v>0</v>
      </c>
      <c r="AL203" s="103"/>
      <c r="AM203" s="131" t="n">
        <v>0</v>
      </c>
      <c r="AN203" s="130" t="n">
        <f aca="false">AB203-AM203</f>
        <v>0</v>
      </c>
      <c r="AO203" s="103"/>
      <c r="AP203" s="131" t="n">
        <v>0</v>
      </c>
      <c r="AQ203" s="130" t="n">
        <f aca="false">AC203-AP203</f>
        <v>0</v>
      </c>
      <c r="AR203" s="103"/>
      <c r="AS203" s="103"/>
      <c r="AT203" s="103"/>
      <c r="AU203" s="103"/>
    </row>
    <row r="204" customFormat="false" ht="3.95" hidden="false" customHeight="true" outlineLevel="0" collapsed="false">
      <c r="A204" s="183"/>
      <c r="B204" s="172"/>
      <c r="C204" s="172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2"/>
      <c r="U204" s="172"/>
      <c r="V204" s="103"/>
      <c r="W204" s="103"/>
      <c r="X204" s="103"/>
      <c r="Y204" s="103"/>
      <c r="Z204" s="103"/>
      <c r="AA204" s="100"/>
      <c r="AB204" s="103"/>
      <c r="AC204" s="103"/>
      <c r="AD204" s="103"/>
      <c r="AE204" s="103"/>
      <c r="AF204" s="103"/>
      <c r="AG204" s="171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</row>
    <row r="205" customFormat="false" ht="12.75" hidden="false" customHeight="true" outlineLevel="0" collapsed="false">
      <c r="A205" s="174" t="s">
        <v>559</v>
      </c>
      <c r="B205" s="172"/>
      <c r="C205" s="172"/>
      <c r="D205" s="175" t="n">
        <f aca="false">-SUM(D305:D318)</f>
        <v>759</v>
      </c>
      <c r="E205" s="175" t="n">
        <f aca="false">-SUM(E305:E318)</f>
        <v>-1624</v>
      </c>
      <c r="F205" s="175" t="n">
        <f aca="false">-SUM(F305:F318)</f>
        <v>888</v>
      </c>
      <c r="G205" s="175" t="n">
        <f aca="false">-SUM(G305:G318)</f>
        <v>-208</v>
      </c>
      <c r="H205" s="175" t="n">
        <f aca="false">-SUM(H305:H318)</f>
        <v>-237</v>
      </c>
      <c r="I205" s="175" t="n">
        <f aca="false">-SUM(I305:I318)</f>
        <v>-685</v>
      </c>
      <c r="J205" s="175" t="n">
        <f aca="false">-SUM(J305:J318)</f>
        <v>-701</v>
      </c>
      <c r="K205" s="175" t="n">
        <f aca="false">-SUM(K305:K318)</f>
        <v>-2</v>
      </c>
      <c r="L205" s="175" t="n">
        <f aca="false">-SUM(L305:L318)</f>
        <v>1</v>
      </c>
      <c r="M205" s="175" t="n">
        <f aca="false">-SUM(M305:M318)</f>
        <v>-1</v>
      </c>
      <c r="N205" s="175" t="n">
        <f aca="false">-SUM(N305:N318)</f>
        <v>71</v>
      </c>
      <c r="O205" s="175" t="n">
        <f aca="false">-SUM(O305:O318)</f>
        <v>768</v>
      </c>
      <c r="P205" s="130" t="n">
        <f aca="false">SUM(D205:O205)</f>
        <v>-971</v>
      </c>
      <c r="Q205" s="131" t="n">
        <f aca="false">SUM(D205:J205)</f>
        <v>-1808</v>
      </c>
      <c r="R205" s="130" t="n">
        <f aca="false">P205-Q205</f>
        <v>837</v>
      </c>
      <c r="S205" s="171"/>
      <c r="T205" s="131" t="n">
        <v>-6848</v>
      </c>
      <c r="U205" s="131" t="n">
        <v>-5700</v>
      </c>
      <c r="V205" s="130" t="n">
        <f aca="false">T205-U205</f>
        <v>-1148</v>
      </c>
      <c r="W205" s="103"/>
      <c r="X205" s="103"/>
      <c r="Y205" s="103"/>
      <c r="Z205" s="103"/>
      <c r="AA205" s="103" t="str">
        <f aca="false">A205</f>
        <v>      Change in Deferred Charges</v>
      </c>
      <c r="AB205" s="157" t="n">
        <f aca="false">P205</f>
        <v>-971</v>
      </c>
      <c r="AC205" s="131" t="n">
        <f aca="false">SUM(D205:L205)</f>
        <v>-1809</v>
      </c>
      <c r="AD205" s="130" t="n">
        <f aca="false">AB205-AC205</f>
        <v>838</v>
      </c>
      <c r="AE205" s="103"/>
      <c r="AF205" s="130" t="n">
        <f aca="false">T205</f>
        <v>-6848</v>
      </c>
      <c r="AG205" s="130" t="n">
        <f aca="false">U205</f>
        <v>-5700</v>
      </c>
      <c r="AH205" s="130" t="n">
        <f aca="false">AF205-AG205</f>
        <v>-1148</v>
      </c>
      <c r="AI205" s="103"/>
      <c r="AJ205" s="130" t="n">
        <f aca="false">AC205-AG205</f>
        <v>3891</v>
      </c>
      <c r="AK205" s="130" t="n">
        <f aca="false">AB205-AF205</f>
        <v>5877</v>
      </c>
      <c r="AL205" s="103"/>
      <c r="AM205" s="131" t="n">
        <v>-469</v>
      </c>
      <c r="AN205" s="130" t="n">
        <f aca="false">AB205-AM205</f>
        <v>-502</v>
      </c>
      <c r="AO205" s="103"/>
      <c r="AP205" s="131" t="n">
        <v>-1207</v>
      </c>
      <c r="AQ205" s="130" t="n">
        <f aca="false">AC205-AP205</f>
        <v>-602</v>
      </c>
      <c r="AR205" s="103"/>
      <c r="AS205" s="103"/>
      <c r="AT205" s="103"/>
      <c r="AU205" s="103"/>
    </row>
    <row r="206" customFormat="false" ht="3.95" hidden="false" customHeight="true" outlineLevel="0" collapsed="false">
      <c r="A206" s="174"/>
      <c r="B206" s="172"/>
      <c r="C206" s="172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  <c r="U206" s="171"/>
      <c r="V206" s="103"/>
      <c r="W206" s="103"/>
      <c r="X206" s="103"/>
      <c r="Y206" s="103"/>
      <c r="Z206" s="103"/>
      <c r="AA206" s="100"/>
      <c r="AB206" s="103"/>
      <c r="AC206" s="131"/>
      <c r="AD206" s="103"/>
      <c r="AE206" s="103"/>
      <c r="AF206" s="103"/>
      <c r="AG206" s="171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</row>
    <row r="207" customFormat="false" ht="12.75" hidden="false" customHeight="true" outlineLevel="0" collapsed="false">
      <c r="A207" s="132" t="s">
        <v>560</v>
      </c>
      <c r="B207" s="172"/>
      <c r="C207" s="172"/>
      <c r="D207" s="175" t="n">
        <f aca="false">SUM(D333:D338)</f>
        <v>-1</v>
      </c>
      <c r="E207" s="175" t="n">
        <f aca="false">SUM(E333:E338)</f>
        <v>0</v>
      </c>
      <c r="F207" s="175" t="n">
        <f aca="false">SUM(F333:F338)</f>
        <v>2</v>
      </c>
      <c r="G207" s="175" t="n">
        <f aca="false">SUM(G333:G338)</f>
        <v>-5</v>
      </c>
      <c r="H207" s="175" t="n">
        <f aca="false">SUM(H333:H338)</f>
        <v>2</v>
      </c>
      <c r="I207" s="175" t="n">
        <f aca="false">SUM(I333:I338)</f>
        <v>3</v>
      </c>
      <c r="J207" s="175" t="n">
        <f aca="false">SUM(J333:J338)</f>
        <v>0</v>
      </c>
      <c r="K207" s="175" t="n">
        <f aca="false">SUM(K333:K338)</f>
        <v>0</v>
      </c>
      <c r="L207" s="175" t="n">
        <f aca="false">SUM(L333:L338)</f>
        <v>0</v>
      </c>
      <c r="M207" s="175" t="n">
        <f aca="false">SUM(M333:M338)</f>
        <v>88</v>
      </c>
      <c r="N207" s="175" t="n">
        <f aca="false">SUM(N333:N338)</f>
        <v>0</v>
      </c>
      <c r="O207" s="175" t="n">
        <f aca="false">SUM(O333:O338)</f>
        <v>-986</v>
      </c>
      <c r="P207" s="130" t="n">
        <f aca="false">SUM(D207:O207)</f>
        <v>-897</v>
      </c>
      <c r="Q207" s="131" t="n">
        <f aca="false">SUM(D207:J207)</f>
        <v>1</v>
      </c>
      <c r="R207" s="130" t="n">
        <f aca="false">P207-Q207</f>
        <v>-898</v>
      </c>
      <c r="S207" s="171"/>
      <c r="T207" s="131" t="n">
        <v>-903</v>
      </c>
      <c r="U207" s="131" t="n">
        <v>-4</v>
      </c>
      <c r="V207" s="130" t="n">
        <f aca="false">T207-U207</f>
        <v>-899</v>
      </c>
      <c r="W207" s="103"/>
      <c r="X207" s="103"/>
      <c r="Y207" s="103"/>
      <c r="Z207" s="103"/>
      <c r="AA207" s="103" t="str">
        <f aca="false">A207</f>
        <v>      Change in Deferred Credits </v>
      </c>
      <c r="AB207" s="157" t="n">
        <f aca="false">P207</f>
        <v>-897</v>
      </c>
      <c r="AC207" s="131" t="n">
        <f aca="false">SUM(D207:L207)</f>
        <v>1</v>
      </c>
      <c r="AD207" s="130" t="n">
        <f aca="false">AB207-AC207</f>
        <v>-898</v>
      </c>
      <c r="AE207" s="103"/>
      <c r="AF207" s="130" t="n">
        <f aca="false">T207</f>
        <v>-903</v>
      </c>
      <c r="AG207" s="130" t="n">
        <f aca="false">U207</f>
        <v>-4</v>
      </c>
      <c r="AH207" s="130" t="n">
        <f aca="false">AF207-AG207</f>
        <v>-899</v>
      </c>
      <c r="AI207" s="103"/>
      <c r="AJ207" s="130" t="n">
        <f aca="false">AC207-AG207</f>
        <v>5</v>
      </c>
      <c r="AK207" s="130" t="n">
        <f aca="false">AB207-AF207</f>
        <v>6</v>
      </c>
      <c r="AL207" s="103"/>
      <c r="AM207" s="131" t="n">
        <v>-898</v>
      </c>
      <c r="AN207" s="130" t="n">
        <f aca="false">AB207-AM207</f>
        <v>1</v>
      </c>
      <c r="AO207" s="103"/>
      <c r="AP207" s="131" t="n">
        <v>0</v>
      </c>
      <c r="AQ207" s="130" t="n">
        <f aca="false">AC207-AP207</f>
        <v>1</v>
      </c>
      <c r="AR207" s="103"/>
      <c r="AS207" s="103"/>
      <c r="AT207" s="103"/>
      <c r="AU207" s="103"/>
    </row>
    <row r="208" customFormat="false" ht="3.95" hidden="false" customHeight="true" outlineLevel="0" collapsed="false">
      <c r="A208" s="172"/>
      <c r="B208" s="172"/>
      <c r="C208" s="172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  <c r="U208" s="172"/>
      <c r="V208" s="103"/>
      <c r="W208" s="103"/>
      <c r="X208" s="103"/>
      <c r="Y208" s="103"/>
      <c r="Z208" s="103"/>
      <c r="AA208" s="100"/>
      <c r="AB208" s="103"/>
      <c r="AC208" s="103"/>
      <c r="AD208" s="103"/>
      <c r="AE208" s="103"/>
      <c r="AF208" s="103"/>
      <c r="AG208" s="171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</row>
    <row r="209" customFormat="false" ht="12.75" hidden="false" customHeight="true" outlineLevel="0" collapsed="false">
      <c r="A209" s="174" t="s">
        <v>561</v>
      </c>
      <c r="B209" s="172"/>
      <c r="C209" s="172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  <c r="U209" s="171"/>
      <c r="V209" s="103"/>
      <c r="W209" s="103"/>
      <c r="X209" s="103"/>
      <c r="Y209" s="103"/>
      <c r="Z209" s="103"/>
      <c r="AA209" s="103" t="str">
        <f aca="false">A209</f>
        <v>      Gross Plant</v>
      </c>
      <c r="AB209" s="103"/>
      <c r="AC209" s="103"/>
      <c r="AD209" s="103"/>
      <c r="AE209" s="103"/>
      <c r="AF209" s="103"/>
      <c r="AG209" s="171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</row>
    <row r="210" customFormat="false" ht="12.75" hidden="false" customHeight="true" outlineLevel="0" collapsed="false">
      <c r="A210" s="132" t="s">
        <v>562</v>
      </c>
      <c r="B210" s="172"/>
      <c r="C210" s="172"/>
      <c r="D210" s="175" t="n">
        <f aca="false">-D271</f>
        <v>-0</v>
      </c>
      <c r="E210" s="175" t="n">
        <f aca="false">-E271</f>
        <v>-0</v>
      </c>
      <c r="F210" s="175" t="n">
        <f aca="false">-F271</f>
        <v>-0</v>
      </c>
      <c r="G210" s="175" t="n">
        <f aca="false">-G271</f>
        <v>-0</v>
      </c>
      <c r="H210" s="175" t="n">
        <f aca="false">-H271</f>
        <v>-0</v>
      </c>
      <c r="I210" s="175" t="n">
        <f aca="false">-I271</f>
        <v>-0</v>
      </c>
      <c r="J210" s="175" t="n">
        <f aca="false">-J271</f>
        <v>-0</v>
      </c>
      <c r="K210" s="175" t="n">
        <f aca="false">-K271</f>
        <v>-0</v>
      </c>
      <c r="L210" s="175" t="n">
        <f aca="false">-L271</f>
        <v>-0</v>
      </c>
      <c r="M210" s="175" t="n">
        <f aca="false">-M271</f>
        <v>-0</v>
      </c>
      <c r="N210" s="175" t="n">
        <f aca="false">-N271</f>
        <v>-0</v>
      </c>
      <c r="O210" s="175" t="n">
        <f aca="false">-O271</f>
        <v>-0</v>
      </c>
      <c r="P210" s="130" t="n">
        <f aca="false">SUM(D210:O210)</f>
        <v>0</v>
      </c>
      <c r="Q210" s="131" t="n">
        <f aca="false">SUM(D210:J210)</f>
        <v>0</v>
      </c>
      <c r="R210" s="130" t="n">
        <f aca="false">P210-Q210</f>
        <v>0</v>
      </c>
      <c r="S210" s="171"/>
      <c r="T210" s="131" t="n">
        <v>0</v>
      </c>
      <c r="U210" s="131" t="n">
        <v>0</v>
      </c>
      <c r="V210" s="130" t="n">
        <f aca="false">T210-U210</f>
        <v>0</v>
      </c>
      <c r="W210" s="103"/>
      <c r="X210" s="103"/>
      <c r="Y210" s="103"/>
      <c r="Z210" s="103"/>
      <c r="AA210" s="103" t="str">
        <f aca="false">A210</f>
        <v>          Reserve Adjustments </v>
      </c>
      <c r="AB210" s="157" t="n">
        <f aca="false">P210</f>
        <v>0</v>
      </c>
      <c r="AC210" s="131" t="n">
        <f aca="false">SUM(D210:L210)</f>
        <v>0</v>
      </c>
      <c r="AD210" s="130" t="n">
        <f aca="false">AB210-AC210</f>
        <v>0</v>
      </c>
      <c r="AE210" s="103"/>
      <c r="AF210" s="130" t="n">
        <f aca="false">T210</f>
        <v>0</v>
      </c>
      <c r="AG210" s="130" t="n">
        <f aca="false">U210</f>
        <v>0</v>
      </c>
      <c r="AH210" s="130" t="n">
        <f aca="false">AF210-AG210</f>
        <v>0</v>
      </c>
      <c r="AI210" s="103"/>
      <c r="AJ210" s="130" t="n">
        <f aca="false">AC210-AG210</f>
        <v>0</v>
      </c>
      <c r="AK210" s="130" t="n">
        <f aca="false">AB210-AF210</f>
        <v>0</v>
      </c>
      <c r="AL210" s="103"/>
      <c r="AM210" s="131" t="n">
        <v>0</v>
      </c>
      <c r="AN210" s="130" t="n">
        <f aca="false">AB210-AM210</f>
        <v>0</v>
      </c>
      <c r="AO210" s="103"/>
      <c r="AP210" s="131" t="n">
        <v>0</v>
      </c>
      <c r="AQ210" s="130" t="n">
        <f aca="false">AC210-AP210</f>
        <v>0</v>
      </c>
      <c r="AR210" s="103"/>
      <c r="AS210" s="103"/>
      <c r="AT210" s="103"/>
      <c r="AU210" s="103"/>
    </row>
    <row r="211" customFormat="false" ht="12.75" hidden="false" customHeight="true" outlineLevel="0" collapsed="false">
      <c r="A211" s="132" t="s">
        <v>563</v>
      </c>
      <c r="B211" s="186" t="s">
        <v>564</v>
      </c>
      <c r="C211" s="186"/>
      <c r="D211" s="185" t="n">
        <v>0</v>
      </c>
      <c r="E211" s="185" t="n">
        <v>0</v>
      </c>
      <c r="F211" s="185" t="n">
        <v>0</v>
      </c>
      <c r="G211" s="185" t="n">
        <v>0</v>
      </c>
      <c r="H211" s="185" t="n">
        <v>0</v>
      </c>
      <c r="I211" s="185" t="n">
        <v>0</v>
      </c>
      <c r="J211" s="185" t="n">
        <v>0</v>
      </c>
      <c r="K211" s="185" t="n">
        <v>0</v>
      </c>
      <c r="L211" s="185" t="n">
        <v>0</v>
      </c>
      <c r="M211" s="185" t="n">
        <v>0</v>
      </c>
      <c r="N211" s="185" t="n">
        <v>0</v>
      </c>
      <c r="O211" s="185" t="n">
        <v>0</v>
      </c>
      <c r="P211" s="130" t="n">
        <f aca="false">SUM(D211:O211)</f>
        <v>0</v>
      </c>
      <c r="Q211" s="131" t="n">
        <f aca="false">SUM(D211:J211)</f>
        <v>0</v>
      </c>
      <c r="R211" s="130" t="n">
        <f aca="false">P211-Q211</f>
        <v>0</v>
      </c>
      <c r="S211" s="171"/>
      <c r="T211" s="131" t="n">
        <v>0</v>
      </c>
      <c r="U211" s="131" t="n">
        <v>0</v>
      </c>
      <c r="V211" s="130" t="n">
        <f aca="false">T211-U211</f>
        <v>0</v>
      </c>
      <c r="W211" s="103"/>
      <c r="X211" s="103"/>
      <c r="Y211" s="103"/>
      <c r="Z211" s="103"/>
      <c r="AA211" s="103" t="str">
        <f aca="false">A211</f>
        <v>          Storage Imbalance (Acct.117.4) </v>
      </c>
      <c r="AB211" s="157" t="n">
        <f aca="false">P211</f>
        <v>0</v>
      </c>
      <c r="AC211" s="131" t="n">
        <f aca="false">SUM(D211:L211)</f>
        <v>0</v>
      </c>
      <c r="AD211" s="130" t="n">
        <f aca="false">AB211-AC211</f>
        <v>0</v>
      </c>
      <c r="AE211" s="103"/>
      <c r="AF211" s="130" t="n">
        <f aca="false">T211</f>
        <v>0</v>
      </c>
      <c r="AG211" s="130" t="n">
        <f aca="false">U211</f>
        <v>0</v>
      </c>
      <c r="AH211" s="130" t="n">
        <f aca="false">AF211-AG211</f>
        <v>0</v>
      </c>
      <c r="AI211" s="103"/>
      <c r="AJ211" s="130" t="n">
        <f aca="false">AC211-AG211</f>
        <v>0</v>
      </c>
      <c r="AK211" s="130" t="n">
        <f aca="false">AB211-AF211</f>
        <v>0</v>
      </c>
      <c r="AL211" s="103"/>
      <c r="AM211" s="131" t="n">
        <v>0</v>
      </c>
      <c r="AN211" s="130" t="n">
        <f aca="false">AB211-AM211</f>
        <v>0</v>
      </c>
      <c r="AO211" s="103"/>
      <c r="AP211" s="131" t="n">
        <v>0</v>
      </c>
      <c r="AQ211" s="130" t="n">
        <f aca="false">AC211-AP211</f>
        <v>0</v>
      </c>
      <c r="AR211" s="103"/>
      <c r="AS211" s="103"/>
      <c r="AT211" s="103"/>
      <c r="AU211" s="103"/>
    </row>
    <row r="212" customFormat="false" ht="12.75" hidden="false" customHeight="true" outlineLevel="0" collapsed="false">
      <c r="A212" s="174" t="s">
        <v>565</v>
      </c>
      <c r="B212" s="172"/>
      <c r="C212" s="172"/>
      <c r="D212" s="175" t="n">
        <f aca="false">-D273</f>
        <v>259</v>
      </c>
      <c r="E212" s="175" t="n">
        <f aca="false">-E273</f>
        <v>-0</v>
      </c>
      <c r="F212" s="175" t="n">
        <f aca="false">-F273</f>
        <v>-0</v>
      </c>
      <c r="G212" s="175" t="n">
        <f aca="false">-G273</f>
        <v>-0</v>
      </c>
      <c r="H212" s="175" t="n">
        <f aca="false">-H273</f>
        <v>-0</v>
      </c>
      <c r="I212" s="175" t="n">
        <f aca="false">-I273</f>
        <v>2800</v>
      </c>
      <c r="J212" s="175" t="n">
        <f aca="false">-J273</f>
        <v>17702</v>
      </c>
      <c r="K212" s="175" t="n">
        <f aca="false">-K273</f>
        <v>-0</v>
      </c>
      <c r="L212" s="175" t="n">
        <f aca="false">-L273</f>
        <v>-0</v>
      </c>
      <c r="M212" s="175" t="n">
        <f aca="false">-M273</f>
        <v>-0</v>
      </c>
      <c r="N212" s="175" t="n">
        <f aca="false">-N273</f>
        <v>-0</v>
      </c>
      <c r="O212" s="175" t="n">
        <f aca="false">-O273</f>
        <v>-0</v>
      </c>
      <c r="P212" s="130" t="n">
        <f aca="false">SUM(D212:O212)</f>
        <v>20761</v>
      </c>
      <c r="Q212" s="131" t="n">
        <f aca="false">SUM(D212:J212)</f>
        <v>20761</v>
      </c>
      <c r="R212" s="130" t="n">
        <f aca="false">P212-Q212</f>
        <v>0</v>
      </c>
      <c r="S212" s="171"/>
      <c r="T212" s="131" t="n">
        <v>0</v>
      </c>
      <c r="U212" s="131" t="n">
        <v>0</v>
      </c>
      <c r="V212" s="130" t="n">
        <f aca="false">T212-U212</f>
        <v>0</v>
      </c>
      <c r="W212" s="103"/>
      <c r="X212" s="103"/>
      <c r="Y212" s="103"/>
      <c r="Z212" s="103"/>
      <c r="AA212" s="103" t="str">
        <f aca="false">A212</f>
        <v>          Retirements at Cost</v>
      </c>
      <c r="AB212" s="157" t="n">
        <f aca="false">P212</f>
        <v>20761</v>
      </c>
      <c r="AC212" s="131" t="n">
        <f aca="false">SUM(D212:L212)</f>
        <v>20761</v>
      </c>
      <c r="AD212" s="130" t="n">
        <f aca="false">AB212-AC212</f>
        <v>0</v>
      </c>
      <c r="AE212" s="103"/>
      <c r="AF212" s="130" t="n">
        <f aca="false">T212</f>
        <v>0</v>
      </c>
      <c r="AG212" s="130" t="n">
        <f aca="false">U212</f>
        <v>0</v>
      </c>
      <c r="AH212" s="130" t="n">
        <f aca="false">AF212-AG212</f>
        <v>0</v>
      </c>
      <c r="AI212" s="103"/>
      <c r="AJ212" s="130" t="n">
        <f aca="false">AC212-AG212</f>
        <v>20761</v>
      </c>
      <c r="AK212" s="130" t="n">
        <f aca="false">AB212-AF212</f>
        <v>20761</v>
      </c>
      <c r="AL212" s="103"/>
      <c r="AM212" s="131" t="n">
        <v>3059</v>
      </c>
      <c r="AN212" s="130" t="n">
        <f aca="false">AB212-AM212</f>
        <v>17702</v>
      </c>
      <c r="AO212" s="103"/>
      <c r="AP212" s="131" t="n">
        <v>3059</v>
      </c>
      <c r="AQ212" s="130" t="n">
        <f aca="false">AC212-AP212</f>
        <v>17702</v>
      </c>
      <c r="AR212" s="103"/>
      <c r="AS212" s="103"/>
      <c r="AT212" s="103"/>
      <c r="AU212" s="103"/>
    </row>
    <row r="213" customFormat="false" ht="3.95" hidden="false" customHeight="true" outlineLevel="0" collapsed="false">
      <c r="A213" s="174"/>
      <c r="B213" s="172"/>
      <c r="C213" s="172"/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  <c r="U213" s="171"/>
      <c r="V213" s="103"/>
      <c r="W213" s="103"/>
      <c r="X213" s="103"/>
      <c r="Y213" s="103"/>
      <c r="Z213" s="103"/>
      <c r="AA213" s="100"/>
      <c r="AB213" s="103"/>
      <c r="AC213" s="103"/>
      <c r="AD213" s="103"/>
      <c r="AE213" s="103"/>
      <c r="AF213" s="103"/>
      <c r="AG213" s="171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</row>
    <row r="214" customFormat="false" ht="12.75" hidden="false" customHeight="true" outlineLevel="0" collapsed="false">
      <c r="A214" s="174" t="s">
        <v>566</v>
      </c>
      <c r="B214" s="172"/>
      <c r="C214" s="172"/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71"/>
      <c r="S214" s="171"/>
      <c r="T214" s="171"/>
      <c r="U214" s="171"/>
      <c r="V214" s="103"/>
      <c r="W214" s="103"/>
      <c r="X214" s="103"/>
      <c r="Y214" s="103"/>
      <c r="Z214" s="103"/>
      <c r="AA214" s="103" t="str">
        <f aca="false">A214</f>
        <v>      Accumulated Depreciation</v>
      </c>
      <c r="AB214" s="103"/>
      <c r="AC214" s="103"/>
      <c r="AD214" s="103"/>
      <c r="AE214" s="103"/>
      <c r="AF214" s="103"/>
      <c r="AG214" s="171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</row>
    <row r="215" customFormat="false" ht="12.75" hidden="false" customHeight="true" outlineLevel="0" collapsed="false">
      <c r="A215" s="132" t="s">
        <v>567</v>
      </c>
      <c r="B215" s="172"/>
      <c r="C215" s="172"/>
      <c r="D215" s="175" t="n">
        <f aca="false">D284</f>
        <v>-23</v>
      </c>
      <c r="E215" s="175" t="n">
        <f aca="false">E284</f>
        <v>22</v>
      </c>
      <c r="F215" s="175" t="n">
        <f aca="false">F284</f>
        <v>-25</v>
      </c>
      <c r="G215" s="175" t="n">
        <f aca="false">G284</f>
        <v>-72</v>
      </c>
      <c r="H215" s="175" t="n">
        <f aca="false">H284</f>
        <v>-27</v>
      </c>
      <c r="I215" s="175" t="n">
        <f aca="false">I284</f>
        <v>-27</v>
      </c>
      <c r="J215" s="175" t="n">
        <f aca="false">J284</f>
        <v>-27</v>
      </c>
      <c r="K215" s="175" t="n">
        <f aca="false">K284</f>
        <v>-27</v>
      </c>
      <c r="L215" s="175" t="n">
        <f aca="false">L284</f>
        <v>-27</v>
      </c>
      <c r="M215" s="175" t="n">
        <f aca="false">M284</f>
        <v>-27</v>
      </c>
      <c r="N215" s="175" t="n">
        <f aca="false">N284</f>
        <v>-27</v>
      </c>
      <c r="O215" s="175" t="n">
        <f aca="false">O284</f>
        <v>-27</v>
      </c>
      <c r="P215" s="130" t="n">
        <f aca="false">SUM(D215:O215)</f>
        <v>-314</v>
      </c>
      <c r="Q215" s="131" t="n">
        <f aca="false">SUM(D215:J215)</f>
        <v>-179</v>
      </c>
      <c r="R215" s="130" t="n">
        <f aca="false">P215-Q215</f>
        <v>-135</v>
      </c>
      <c r="S215" s="171"/>
      <c r="T215" s="131" t="n">
        <v>-288</v>
      </c>
      <c r="U215" s="131" t="n">
        <v>-216</v>
      </c>
      <c r="V215" s="130" t="n">
        <f aca="false">T215-U215</f>
        <v>-72</v>
      </c>
      <c r="W215" s="103"/>
      <c r="X215" s="103"/>
      <c r="Y215" s="103"/>
      <c r="Z215" s="103"/>
      <c r="AA215" s="103" t="str">
        <f aca="false">A215</f>
        <v>          Reserve Adj. / Pipe Recoating</v>
      </c>
      <c r="AB215" s="157" t="n">
        <f aca="false">P215</f>
        <v>-314</v>
      </c>
      <c r="AC215" s="131" t="n">
        <f aca="false">SUM(D215:L215)</f>
        <v>-233</v>
      </c>
      <c r="AD215" s="130" t="n">
        <f aca="false">AB215-AC215</f>
        <v>-81</v>
      </c>
      <c r="AE215" s="103"/>
      <c r="AF215" s="130" t="n">
        <f aca="false">T215</f>
        <v>-288</v>
      </c>
      <c r="AG215" s="130" t="n">
        <f aca="false">U215</f>
        <v>-216</v>
      </c>
      <c r="AH215" s="130" t="n">
        <f aca="false">AF215-AG215</f>
        <v>-72</v>
      </c>
      <c r="AI215" s="103"/>
      <c r="AJ215" s="130" t="n">
        <f aca="false">AC215-AG215</f>
        <v>-17</v>
      </c>
      <c r="AK215" s="130" t="n">
        <f aca="false">AB215-AF215</f>
        <v>-26</v>
      </c>
      <c r="AL215" s="103"/>
      <c r="AM215" s="131" t="n">
        <v>-287</v>
      </c>
      <c r="AN215" s="130" t="n">
        <f aca="false">AB215-AM215</f>
        <v>-27</v>
      </c>
      <c r="AO215" s="103"/>
      <c r="AP215" s="131" t="n">
        <v>-220</v>
      </c>
      <c r="AQ215" s="130" t="n">
        <f aca="false">AC215-AP215</f>
        <v>-13</v>
      </c>
      <c r="AR215" s="103"/>
      <c r="AS215" s="103"/>
      <c r="AT215" s="103"/>
      <c r="AU215" s="103"/>
    </row>
    <row r="216" customFormat="false" ht="12.75" hidden="false" customHeight="true" outlineLevel="0" collapsed="false">
      <c r="A216" s="132" t="s">
        <v>568</v>
      </c>
      <c r="B216" s="172"/>
      <c r="C216" s="172"/>
      <c r="D216" s="175" t="n">
        <f aca="false">D286</f>
        <v>8</v>
      </c>
      <c r="E216" s="175" t="n">
        <f aca="false">E286</f>
        <v>0</v>
      </c>
      <c r="F216" s="175" t="n">
        <f aca="false">F286</f>
        <v>0</v>
      </c>
      <c r="G216" s="175" t="n">
        <f aca="false">G286</f>
        <v>0</v>
      </c>
      <c r="H216" s="175" t="n">
        <f aca="false">H286</f>
        <v>0</v>
      </c>
      <c r="I216" s="175" t="n">
        <f aca="false">I286</f>
        <v>0</v>
      </c>
      <c r="J216" s="175" t="n">
        <f aca="false">J286</f>
        <v>-17703</v>
      </c>
      <c r="K216" s="175" t="n">
        <f aca="false">K286</f>
        <v>0</v>
      </c>
      <c r="L216" s="175" t="n">
        <f aca="false">L286</f>
        <v>0</v>
      </c>
      <c r="M216" s="175" t="n">
        <f aca="false">M286</f>
        <v>0</v>
      </c>
      <c r="N216" s="175" t="n">
        <f aca="false">N286</f>
        <v>0</v>
      </c>
      <c r="O216" s="175" t="n">
        <f aca="false">O286</f>
        <v>0</v>
      </c>
      <c r="P216" s="130" t="n">
        <f aca="false">SUM(D216:O216)</f>
        <v>-17695</v>
      </c>
      <c r="Q216" s="131" t="n">
        <f aca="false">SUM(D216:J216)</f>
        <v>-17695</v>
      </c>
      <c r="R216" s="130" t="n">
        <f aca="false">P216-Q216</f>
        <v>0</v>
      </c>
      <c r="S216" s="171"/>
      <c r="T216" s="131" t="n">
        <v>-2400</v>
      </c>
      <c r="U216" s="131" t="n">
        <v>-2400</v>
      </c>
      <c r="V216" s="130" t="n">
        <f aca="false">T216-U216</f>
        <v>0</v>
      </c>
      <c r="W216" s="103"/>
      <c r="X216" s="103"/>
      <c r="Y216" s="103"/>
      <c r="Z216" s="103"/>
      <c r="AA216" s="103" t="str">
        <f aca="false">A216</f>
        <v>          Retirement of Reserves</v>
      </c>
      <c r="AB216" s="157" t="n">
        <f aca="false">P216</f>
        <v>-17695</v>
      </c>
      <c r="AC216" s="131" t="n">
        <f aca="false">SUM(D216:L216)</f>
        <v>-17695</v>
      </c>
      <c r="AD216" s="130" t="n">
        <f aca="false">AB216-AC216</f>
        <v>0</v>
      </c>
      <c r="AE216" s="103"/>
      <c r="AF216" s="130" t="n">
        <f aca="false">T216</f>
        <v>-2400</v>
      </c>
      <c r="AG216" s="130" t="n">
        <f aca="false">U216</f>
        <v>-2400</v>
      </c>
      <c r="AH216" s="130" t="n">
        <f aca="false">AF216-AG216</f>
        <v>0</v>
      </c>
      <c r="AI216" s="103"/>
      <c r="AJ216" s="130" t="n">
        <f aca="false">AC216-AG216</f>
        <v>-15295</v>
      </c>
      <c r="AK216" s="130" t="n">
        <f aca="false">AB216-AF216</f>
        <v>-15295</v>
      </c>
      <c r="AL216" s="103"/>
      <c r="AM216" s="131" t="n">
        <v>-4592</v>
      </c>
      <c r="AN216" s="130" t="n">
        <f aca="false">AB216-AM216</f>
        <v>-13103</v>
      </c>
      <c r="AO216" s="103"/>
      <c r="AP216" s="131" t="n">
        <v>-2792</v>
      </c>
      <c r="AQ216" s="130" t="n">
        <f aca="false">AC216-AP216</f>
        <v>-14903</v>
      </c>
      <c r="AR216" s="103"/>
      <c r="AS216" s="103"/>
      <c r="AT216" s="103"/>
      <c r="AU216" s="103"/>
    </row>
    <row r="217" customFormat="false" ht="3.95" hidden="false" customHeight="true" outlineLevel="0" collapsed="false">
      <c r="A217" s="174"/>
      <c r="B217" s="172"/>
      <c r="C217" s="172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71"/>
      <c r="Q217" s="171"/>
      <c r="R217" s="171"/>
      <c r="S217" s="171"/>
      <c r="T217" s="171"/>
      <c r="U217" s="171"/>
      <c r="V217" s="103"/>
      <c r="W217" s="103"/>
      <c r="X217" s="103"/>
      <c r="Y217" s="103"/>
      <c r="Z217" s="103"/>
      <c r="AA217" s="100"/>
      <c r="AB217" s="103"/>
      <c r="AC217" s="103"/>
      <c r="AD217" s="103"/>
      <c r="AE217" s="103"/>
      <c r="AF217" s="103"/>
      <c r="AG217" s="171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</row>
    <row r="218" customFormat="false" ht="12.75" hidden="false" customHeight="true" outlineLevel="0" collapsed="false">
      <c r="A218" s="132" t="s">
        <v>569</v>
      </c>
      <c r="B218" s="172"/>
      <c r="C218" s="172"/>
      <c r="D218" s="188" t="n">
        <v>0</v>
      </c>
      <c r="E218" s="188" t="n">
        <v>0</v>
      </c>
      <c r="F218" s="188" t="n">
        <v>0</v>
      </c>
      <c r="G218" s="188" t="n">
        <v>0</v>
      </c>
      <c r="H218" s="188" t="n">
        <v>0</v>
      </c>
      <c r="I218" s="188" t="n">
        <v>0</v>
      </c>
      <c r="J218" s="188" t="n">
        <v>0</v>
      </c>
      <c r="K218" s="188" t="n">
        <v>0</v>
      </c>
      <c r="L218" s="188" t="n">
        <v>0</v>
      </c>
      <c r="M218" s="188" t="n">
        <v>0</v>
      </c>
      <c r="N218" s="188" t="n">
        <v>0</v>
      </c>
      <c r="O218" s="188" t="n">
        <v>0</v>
      </c>
      <c r="P218" s="143" t="n">
        <f aca="false">SUM(D218:O218)</f>
        <v>0</v>
      </c>
      <c r="Q218" s="140" t="n">
        <f aca="false">SUM(D218:J218)</f>
        <v>0</v>
      </c>
      <c r="R218" s="143" t="n">
        <f aca="false">P218-Q218</f>
        <v>0</v>
      </c>
      <c r="S218" s="177"/>
      <c r="T218" s="140" t="n">
        <v>0</v>
      </c>
      <c r="U218" s="140" t="n">
        <v>0</v>
      </c>
      <c r="V218" s="143" t="n">
        <f aca="false">T218-U218</f>
        <v>0</v>
      </c>
      <c r="W218" s="103"/>
      <c r="X218" s="103"/>
      <c r="Y218" s="103"/>
      <c r="Z218" s="103"/>
      <c r="AA218" s="103" t="str">
        <f aca="false">A218</f>
        <v>      Other (Was Ardmore Capitalization 3/95)</v>
      </c>
      <c r="AB218" s="159" t="n">
        <f aca="false">P218</f>
        <v>0</v>
      </c>
      <c r="AC218" s="140" t="n">
        <f aca="false">SUM(D218:L218)</f>
        <v>0</v>
      </c>
      <c r="AD218" s="143" t="n">
        <f aca="false">AB218-AC218</f>
        <v>0</v>
      </c>
      <c r="AE218" s="103"/>
      <c r="AF218" s="143" t="n">
        <f aca="false">T218</f>
        <v>0</v>
      </c>
      <c r="AG218" s="143" t="n">
        <f aca="false">U218</f>
        <v>0</v>
      </c>
      <c r="AH218" s="143" t="n">
        <f aca="false">AF218-AG218</f>
        <v>0</v>
      </c>
      <c r="AI218" s="103"/>
      <c r="AJ218" s="143" t="n">
        <f aca="false">AC218-AG218</f>
        <v>0</v>
      </c>
      <c r="AK218" s="143" t="n">
        <f aca="false">AB218-AF218</f>
        <v>0</v>
      </c>
      <c r="AL218" s="103"/>
      <c r="AM218" s="140" t="n">
        <v>0</v>
      </c>
      <c r="AN218" s="143" t="n">
        <f aca="false">AB218-AM218</f>
        <v>0</v>
      </c>
      <c r="AO218" s="160"/>
      <c r="AP218" s="140" t="n">
        <v>0</v>
      </c>
      <c r="AQ218" s="143" t="n">
        <f aca="false">AC218-AP218</f>
        <v>0</v>
      </c>
      <c r="AR218" s="103"/>
      <c r="AS218" s="103"/>
      <c r="AT218" s="103"/>
      <c r="AU218" s="103"/>
    </row>
    <row r="219" customFormat="false" ht="3.95" hidden="false" customHeight="true" outlineLevel="0" collapsed="false">
      <c r="A219" s="174"/>
      <c r="B219" s="172"/>
      <c r="C219" s="172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1"/>
      <c r="Q219" s="171"/>
      <c r="R219" s="171"/>
      <c r="S219" s="171"/>
      <c r="T219" s="171"/>
      <c r="U219" s="171"/>
      <c r="V219" s="103"/>
      <c r="W219" s="103"/>
      <c r="X219" s="103"/>
      <c r="Y219" s="103"/>
      <c r="Z219" s="103"/>
      <c r="AA219" s="100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</row>
    <row r="220" customFormat="false" ht="12.75" hidden="false" customHeight="true" outlineLevel="0" collapsed="false">
      <c r="A220" s="174" t="s">
        <v>570</v>
      </c>
      <c r="B220" s="172"/>
      <c r="C220" s="172"/>
      <c r="D220" s="178" t="n">
        <f aca="false">SUM(D201:D218)</f>
        <v>1002</v>
      </c>
      <c r="E220" s="178" t="n">
        <f aca="false">SUM(E201:E218)</f>
        <v>-1602</v>
      </c>
      <c r="F220" s="178" t="n">
        <f aca="false">SUM(F201:F218)</f>
        <v>865</v>
      </c>
      <c r="G220" s="178" t="n">
        <f aca="false">SUM(G201:G218)</f>
        <v>-285</v>
      </c>
      <c r="H220" s="178" t="n">
        <f aca="false">SUM(H201:H218)</f>
        <v>-262</v>
      </c>
      <c r="I220" s="178" t="n">
        <f aca="false">SUM(I201:I218)</f>
        <v>2091</v>
      </c>
      <c r="J220" s="178" t="n">
        <f aca="false">SUM(J201:J218)</f>
        <v>-729</v>
      </c>
      <c r="K220" s="178" t="n">
        <f aca="false">SUM(K201:K218)</f>
        <v>-29</v>
      </c>
      <c r="L220" s="178" t="n">
        <f aca="false">SUM(L201:L218)</f>
        <v>-26</v>
      </c>
      <c r="M220" s="178" t="n">
        <f aca="false">SUM(M201:M218)</f>
        <v>60</v>
      </c>
      <c r="N220" s="178" t="n">
        <f aca="false">SUM(N201:N218)</f>
        <v>44</v>
      </c>
      <c r="O220" s="178" t="n">
        <f aca="false">SUM(O201:O218)</f>
        <v>-245</v>
      </c>
      <c r="P220" s="178" t="n">
        <f aca="false">SUM(P201:P218)</f>
        <v>884</v>
      </c>
      <c r="Q220" s="178" t="n">
        <f aca="false">SUM(Q201:Q218)</f>
        <v>1080</v>
      </c>
      <c r="R220" s="178" t="n">
        <f aca="false">SUM(R201:R218)</f>
        <v>-196</v>
      </c>
      <c r="S220" s="171"/>
      <c r="T220" s="178" t="n">
        <f aca="false">SUM(T201:T218)</f>
        <v>-10439</v>
      </c>
      <c r="U220" s="178" t="n">
        <f aca="false">SUM(U201:U218)</f>
        <v>-8320</v>
      </c>
      <c r="V220" s="178" t="n">
        <f aca="false">SUM(V201:V218)</f>
        <v>-2119</v>
      </c>
      <c r="W220" s="103"/>
      <c r="X220" s="103"/>
      <c r="Y220" s="103"/>
      <c r="Z220" s="103"/>
      <c r="AA220" s="103" t="str">
        <f aca="false">A220</f>
        <v>         Subtotal (Cash Flow Model)</v>
      </c>
      <c r="AB220" s="178" t="n">
        <f aca="false">SUM(AB201:AB218)</f>
        <v>884</v>
      </c>
      <c r="AC220" s="178" t="n">
        <f aca="false">SUM(AC201:AC218)</f>
        <v>1025</v>
      </c>
      <c r="AD220" s="178" t="n">
        <f aca="false">SUM(AD201:AD218)</f>
        <v>-141</v>
      </c>
      <c r="AE220" s="103"/>
      <c r="AF220" s="178" t="n">
        <f aca="false">SUM(AF201:AF218)</f>
        <v>-10439</v>
      </c>
      <c r="AG220" s="178" t="n">
        <f aca="false">SUM(AG201:AG218)</f>
        <v>-8320</v>
      </c>
      <c r="AH220" s="178" t="n">
        <f aca="false">SUM(AH201:AH218)</f>
        <v>-2119</v>
      </c>
      <c r="AI220" s="103"/>
      <c r="AJ220" s="178" t="n">
        <f aca="false">SUM(AJ201:AJ218)</f>
        <v>9345</v>
      </c>
      <c r="AK220" s="178" t="n">
        <f aca="false">SUM(AK201:AK218)</f>
        <v>11323</v>
      </c>
      <c r="AL220" s="103"/>
      <c r="AM220" s="178" t="n">
        <f aca="false">SUM(AM201:AM218)</f>
        <v>-3187</v>
      </c>
      <c r="AN220" s="178" t="n">
        <f aca="false">SUM(AN201:AN218)</f>
        <v>4071</v>
      </c>
      <c r="AO220" s="103"/>
      <c r="AP220" s="178" t="n">
        <f aca="false">SUM(AP201:AP218)</f>
        <v>-1160</v>
      </c>
      <c r="AQ220" s="178" t="n">
        <f aca="false">SUM(AQ201:AQ218)</f>
        <v>2185</v>
      </c>
      <c r="AR220" s="103"/>
      <c r="AS220" s="103"/>
      <c r="AT220" s="103"/>
      <c r="AU220" s="103"/>
    </row>
    <row r="221" customFormat="false" ht="12.75" hidden="false" customHeight="true" outlineLevel="0" collapsed="false">
      <c r="A221" s="172"/>
      <c r="B221" s="172"/>
      <c r="C221" s="172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  <c r="U221" s="171"/>
      <c r="V221" s="103"/>
      <c r="W221" s="103"/>
      <c r="X221" s="103"/>
      <c r="Y221" s="103"/>
      <c r="Z221" s="103"/>
      <c r="AA221" s="100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</row>
    <row r="222" customFormat="false" ht="12.75" hidden="false" customHeight="true" outlineLevel="0" collapsed="false">
      <c r="A222" s="183" t="s">
        <v>571</v>
      </c>
      <c r="B222" s="172"/>
      <c r="C222" s="172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171"/>
      <c r="U222" s="171"/>
      <c r="V222" s="103"/>
      <c r="W222" s="103"/>
      <c r="X222" s="103"/>
      <c r="Y222" s="103"/>
      <c r="Z222" s="103"/>
      <c r="AA222" s="103" t="str">
        <f aca="false">A222</f>
        <v>   Other Tie Out Items (Financial Reporting)</v>
      </c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</row>
    <row r="223" customFormat="false" ht="12.75" hidden="false" customHeight="true" outlineLevel="0" collapsed="false">
      <c r="A223" s="132" t="s">
        <v>509</v>
      </c>
      <c r="B223" s="172"/>
      <c r="C223" s="172"/>
      <c r="D223" s="189" t="n">
        <f aca="false">D12</f>
        <v>-0</v>
      </c>
      <c r="E223" s="189" t="n">
        <f aca="false">E12</f>
        <v>-0</v>
      </c>
      <c r="F223" s="189" t="n">
        <f aca="false">F12</f>
        <v>-0</v>
      </c>
      <c r="G223" s="189" t="n">
        <f aca="false">G12</f>
        <v>-0</v>
      </c>
      <c r="H223" s="189" t="n">
        <f aca="false">H12</f>
        <v>-0</v>
      </c>
      <c r="I223" s="189" t="n">
        <f aca="false">I12</f>
        <v>-0</v>
      </c>
      <c r="J223" s="189" t="n">
        <f aca="false">J12</f>
        <v>-0</v>
      </c>
      <c r="K223" s="189" t="n">
        <f aca="false">K12</f>
        <v>-0</v>
      </c>
      <c r="L223" s="189" t="n">
        <f aca="false">L12</f>
        <v>-0</v>
      </c>
      <c r="M223" s="189" t="n">
        <f aca="false">M12</f>
        <v>-0</v>
      </c>
      <c r="N223" s="189" t="n">
        <f aca="false">N12</f>
        <v>-0</v>
      </c>
      <c r="O223" s="189" t="n">
        <f aca="false">O12</f>
        <v>-0</v>
      </c>
      <c r="P223" s="130" t="n">
        <f aca="false">SUM(D223:O223)</f>
        <v>0</v>
      </c>
      <c r="Q223" s="131" t="n">
        <f aca="false">SUM(D223:J223)</f>
        <v>0</v>
      </c>
      <c r="R223" s="130" t="n">
        <f aca="false">P223-Q223</f>
        <v>0</v>
      </c>
      <c r="S223" s="171"/>
      <c r="T223" s="131" t="n">
        <v>0</v>
      </c>
      <c r="U223" s="131" t="n">
        <v>0</v>
      </c>
      <c r="V223" s="130" t="n">
        <f aca="false">T223-U223</f>
        <v>0</v>
      </c>
      <c r="W223" s="103"/>
      <c r="X223" s="103"/>
      <c r="Y223" s="103"/>
      <c r="Z223" s="103"/>
      <c r="AA223" s="103" t="str">
        <f aca="false">A223</f>
        <v>      Amortization of Contract Reformation Costs</v>
      </c>
      <c r="AB223" s="157" t="n">
        <f aca="false">P223</f>
        <v>0</v>
      </c>
      <c r="AC223" s="131" t="n">
        <f aca="false">SUM(D223:L223)</f>
        <v>0</v>
      </c>
      <c r="AD223" s="130" t="n">
        <f aca="false">AB223-AC223</f>
        <v>0</v>
      </c>
      <c r="AE223" s="103"/>
      <c r="AF223" s="130" t="n">
        <f aca="false">T223</f>
        <v>0</v>
      </c>
      <c r="AG223" s="130" t="n">
        <f aca="false">U223</f>
        <v>0</v>
      </c>
      <c r="AH223" s="130" t="n">
        <f aca="false">AF223-AG223</f>
        <v>0</v>
      </c>
      <c r="AI223" s="103"/>
      <c r="AJ223" s="130" t="n">
        <f aca="false">AC223-AG223</f>
        <v>0</v>
      </c>
      <c r="AK223" s="130" t="n">
        <f aca="false">AB223-AF223</f>
        <v>0</v>
      </c>
      <c r="AL223" s="103"/>
      <c r="AM223" s="131" t="n">
        <v>0</v>
      </c>
      <c r="AN223" s="130" t="n">
        <f aca="false">AB223-AM223</f>
        <v>0</v>
      </c>
      <c r="AO223" s="103"/>
      <c r="AP223" s="131" t="n">
        <v>0</v>
      </c>
      <c r="AQ223" s="130" t="n">
        <f aca="false">AC223-AP223</f>
        <v>0</v>
      </c>
      <c r="AR223" s="103"/>
      <c r="AS223" s="103"/>
      <c r="AT223" s="103"/>
      <c r="AU223" s="103"/>
    </row>
    <row r="224" customFormat="false" ht="12.75" hidden="false" customHeight="true" outlineLevel="0" collapsed="false">
      <c r="A224" s="132" t="s">
        <v>572</v>
      </c>
      <c r="B224" s="172"/>
      <c r="C224" s="172"/>
      <c r="D224" s="175" t="n">
        <f aca="false">D362</f>
        <v>0</v>
      </c>
      <c r="E224" s="175" t="n">
        <f aca="false">E362</f>
        <v>0</v>
      </c>
      <c r="F224" s="175" t="n">
        <f aca="false">F362</f>
        <v>0</v>
      </c>
      <c r="G224" s="175" t="n">
        <f aca="false">G362</f>
        <v>0</v>
      </c>
      <c r="H224" s="175" t="n">
        <f aca="false">H362</f>
        <v>0</v>
      </c>
      <c r="I224" s="175" t="n">
        <f aca="false">I362</f>
        <v>0</v>
      </c>
      <c r="J224" s="175" t="n">
        <f aca="false">J362</f>
        <v>0</v>
      </c>
      <c r="K224" s="175" t="n">
        <f aca="false">K362</f>
        <v>0</v>
      </c>
      <c r="L224" s="175" t="n">
        <f aca="false">L362</f>
        <v>0</v>
      </c>
      <c r="M224" s="175" t="n">
        <f aca="false">M362</f>
        <v>0</v>
      </c>
      <c r="N224" s="175" t="n">
        <f aca="false">N362</f>
        <v>0</v>
      </c>
      <c r="O224" s="175" t="n">
        <f aca="false">O362</f>
        <v>0</v>
      </c>
      <c r="P224" s="130" t="n">
        <f aca="false">SUM(D224:O224)</f>
        <v>0</v>
      </c>
      <c r="Q224" s="131" t="n">
        <f aca="false">SUM(D224:J224)</f>
        <v>0</v>
      </c>
      <c r="R224" s="130" t="n">
        <f aca="false">P224-Q224</f>
        <v>0</v>
      </c>
      <c r="S224" s="171"/>
      <c r="T224" s="131" t="n">
        <v>0</v>
      </c>
      <c r="U224" s="131" t="n">
        <v>0</v>
      </c>
      <c r="V224" s="130" t="n">
        <f aca="false">T224-U224</f>
        <v>0</v>
      </c>
      <c r="W224" s="103"/>
      <c r="X224" s="103"/>
      <c r="Y224" s="103"/>
      <c r="Z224" s="103"/>
      <c r="AA224" s="103" t="str">
        <f aca="false">A224</f>
        <v>      FASB 133 - Comprehensive Income / (Loss) Tax Adjustment</v>
      </c>
      <c r="AB224" s="157" t="n">
        <f aca="false">P224</f>
        <v>0</v>
      </c>
      <c r="AC224" s="131" t="n">
        <f aca="false">SUM(D224:L224)</f>
        <v>0</v>
      </c>
      <c r="AD224" s="130" t="n">
        <f aca="false">AB224-AC224</f>
        <v>0</v>
      </c>
      <c r="AE224" s="103"/>
      <c r="AF224" s="130" t="n">
        <f aca="false">T224</f>
        <v>0</v>
      </c>
      <c r="AG224" s="130" t="n">
        <f aca="false">U224</f>
        <v>0</v>
      </c>
      <c r="AH224" s="130" t="n">
        <f aca="false">AF224-AG224</f>
        <v>0</v>
      </c>
      <c r="AI224" s="103"/>
      <c r="AJ224" s="130" t="n">
        <f aca="false">AC224-AG224</f>
        <v>0</v>
      </c>
      <c r="AK224" s="130" t="n">
        <f aca="false">AB224-AF224</f>
        <v>0</v>
      </c>
      <c r="AL224" s="103"/>
      <c r="AM224" s="131" t="n">
        <v>0</v>
      </c>
      <c r="AN224" s="130" t="n">
        <f aca="false">AB224-AM224</f>
        <v>0</v>
      </c>
      <c r="AO224" s="103"/>
      <c r="AP224" s="131" t="n">
        <v>0</v>
      </c>
      <c r="AQ224" s="130" t="n">
        <f aca="false">AC224-AP224</f>
        <v>0</v>
      </c>
      <c r="AR224" s="103"/>
      <c r="AS224" s="103"/>
      <c r="AT224" s="103"/>
      <c r="AU224" s="103"/>
    </row>
    <row r="225" customFormat="false" ht="12.75" hidden="false" customHeight="true" outlineLevel="0" collapsed="false">
      <c r="A225" s="132" t="s">
        <v>573</v>
      </c>
      <c r="B225" s="172"/>
      <c r="C225" s="172"/>
      <c r="D225" s="185" t="n">
        <v>0</v>
      </c>
      <c r="E225" s="185" t="n">
        <v>0</v>
      </c>
      <c r="F225" s="185" t="n">
        <f aca="false">-4967-10</f>
        <v>-4977</v>
      </c>
      <c r="G225" s="185" t="n">
        <v>0</v>
      </c>
      <c r="H225" s="185" t="n">
        <v>0</v>
      </c>
      <c r="I225" s="185" t="n">
        <v>0</v>
      </c>
      <c r="J225" s="185" t="n">
        <v>0</v>
      </c>
      <c r="K225" s="185" t="n">
        <v>0</v>
      </c>
      <c r="L225" s="185" t="n">
        <v>0</v>
      </c>
      <c r="M225" s="185" t="n">
        <v>0</v>
      </c>
      <c r="N225" s="185" t="n">
        <v>0</v>
      </c>
      <c r="O225" s="185" t="n">
        <v>0</v>
      </c>
      <c r="P225" s="130" t="n">
        <f aca="false">SUM(D225:O225)</f>
        <v>-4977</v>
      </c>
      <c r="Q225" s="131" t="n">
        <f aca="false">SUM(D225:J225)</f>
        <v>-4977</v>
      </c>
      <c r="R225" s="130" t="n">
        <f aca="false">P225-Q225</f>
        <v>0</v>
      </c>
      <c r="S225" s="171"/>
      <c r="T225" s="131" t="n">
        <v>0</v>
      </c>
      <c r="U225" s="131" t="n">
        <v>0</v>
      </c>
      <c r="V225" s="130" t="n">
        <f aca="false">T225-U225</f>
        <v>0</v>
      </c>
      <c r="W225" s="103"/>
      <c r="X225" s="103"/>
      <c r="Y225" s="103"/>
      <c r="Z225" s="103"/>
      <c r="AA225" s="103" t="str">
        <f aca="false">A225</f>
        <v>      Overthrust Removal (Net Income Offset Adjustment)</v>
      </c>
      <c r="AB225" s="157" t="n">
        <f aca="false">P225</f>
        <v>-4977</v>
      </c>
      <c r="AC225" s="131" t="n">
        <f aca="false">SUM(D225:L225)</f>
        <v>-4977</v>
      </c>
      <c r="AD225" s="130" t="n">
        <f aca="false">AB225-AC225</f>
        <v>0</v>
      </c>
      <c r="AE225" s="103"/>
      <c r="AF225" s="130" t="n">
        <f aca="false">T225</f>
        <v>0</v>
      </c>
      <c r="AG225" s="130" t="n">
        <f aca="false">U225</f>
        <v>0</v>
      </c>
      <c r="AH225" s="130" t="n">
        <f aca="false">AF225-AG225</f>
        <v>0</v>
      </c>
      <c r="AI225" s="103"/>
      <c r="AJ225" s="130" t="n">
        <f aca="false">AC225-AG225</f>
        <v>-4977</v>
      </c>
      <c r="AK225" s="130" t="n">
        <f aca="false">AB225-AF225</f>
        <v>-4977</v>
      </c>
      <c r="AL225" s="103"/>
      <c r="AM225" s="131" t="n">
        <v>-4977</v>
      </c>
      <c r="AN225" s="130" t="n">
        <f aca="false">AB225-AM225</f>
        <v>0</v>
      </c>
      <c r="AO225" s="103"/>
      <c r="AP225" s="131" t="n">
        <v>-4977</v>
      </c>
      <c r="AQ225" s="130" t="n">
        <f aca="false">AC225-AP225</f>
        <v>0</v>
      </c>
      <c r="AR225" s="103"/>
      <c r="AS225" s="103"/>
      <c r="AT225" s="103"/>
      <c r="AU225" s="103"/>
    </row>
    <row r="226" customFormat="false" ht="12.75" hidden="false" customHeight="true" outlineLevel="0" collapsed="false">
      <c r="A226" s="132" t="s">
        <v>574</v>
      </c>
      <c r="B226" s="172"/>
      <c r="C226" s="172"/>
      <c r="D226" s="185" t="n">
        <v>0</v>
      </c>
      <c r="E226" s="185" t="n">
        <v>0</v>
      </c>
      <c r="F226" s="185" t="n">
        <v>-65</v>
      </c>
      <c r="G226" s="185" t="n">
        <v>0</v>
      </c>
      <c r="H226" s="185" t="n">
        <v>0</v>
      </c>
      <c r="I226" s="185" t="n">
        <v>0</v>
      </c>
      <c r="J226" s="185" t="n">
        <v>0</v>
      </c>
      <c r="K226" s="185" t="n">
        <v>0</v>
      </c>
      <c r="L226" s="185" t="n">
        <v>0</v>
      </c>
      <c r="M226" s="185" t="n">
        <v>0</v>
      </c>
      <c r="N226" s="185" t="n">
        <v>0</v>
      </c>
      <c r="O226" s="185" t="n">
        <v>0</v>
      </c>
      <c r="P226" s="130" t="n">
        <f aca="false">SUM(D226:O226)</f>
        <v>-65</v>
      </c>
      <c r="Q226" s="131" t="n">
        <f aca="false">SUM(D226:J226)</f>
        <v>-65</v>
      </c>
      <c r="R226" s="130" t="n">
        <f aca="false">P226-Q226</f>
        <v>0</v>
      </c>
      <c r="S226" s="171"/>
      <c r="T226" s="131" t="n">
        <v>0</v>
      </c>
      <c r="U226" s="131" t="n">
        <v>0</v>
      </c>
      <c r="V226" s="130" t="n">
        <f aca="false">T226-U226</f>
        <v>0</v>
      </c>
      <c r="W226" s="103"/>
      <c r="X226" s="103"/>
      <c r="Y226" s="103"/>
      <c r="Z226" s="103"/>
      <c r="AA226" s="103" t="str">
        <f aca="false">A226</f>
        <v>      Overthrust Removal (Deferred Taxes Adjustment)</v>
      </c>
      <c r="AB226" s="157" t="n">
        <f aca="false">P226</f>
        <v>-65</v>
      </c>
      <c r="AC226" s="131" t="n">
        <f aca="false">SUM(D226:L226)</f>
        <v>-65</v>
      </c>
      <c r="AD226" s="130" t="n">
        <f aca="false">AB226-AC226</f>
        <v>0</v>
      </c>
      <c r="AE226" s="103"/>
      <c r="AF226" s="130" t="n">
        <f aca="false">T226</f>
        <v>0</v>
      </c>
      <c r="AG226" s="130" t="n">
        <f aca="false">U226</f>
        <v>0</v>
      </c>
      <c r="AH226" s="130" t="n">
        <f aca="false">AF226-AG226</f>
        <v>0</v>
      </c>
      <c r="AI226" s="103"/>
      <c r="AJ226" s="130" t="n">
        <f aca="false">AC226-AG226</f>
        <v>-65</v>
      </c>
      <c r="AK226" s="130" t="n">
        <f aca="false">AB226-AF226</f>
        <v>-65</v>
      </c>
      <c r="AL226" s="103"/>
      <c r="AM226" s="131" t="n">
        <v>-65</v>
      </c>
      <c r="AN226" s="130" t="n">
        <f aca="false">AB226-AM226</f>
        <v>0</v>
      </c>
      <c r="AO226" s="103"/>
      <c r="AP226" s="131" t="n">
        <v>-65</v>
      </c>
      <c r="AQ226" s="130" t="n">
        <f aca="false">AC226-AP226</f>
        <v>0</v>
      </c>
      <c r="AR226" s="103"/>
      <c r="AS226" s="103"/>
      <c r="AT226" s="103"/>
      <c r="AU226" s="103"/>
    </row>
    <row r="227" customFormat="false" ht="12.75" hidden="false" customHeight="true" outlineLevel="0" collapsed="false">
      <c r="A227" s="132" t="s">
        <v>575</v>
      </c>
      <c r="B227" s="172"/>
      <c r="C227" s="172"/>
      <c r="D227" s="185" t="n">
        <v>0</v>
      </c>
      <c r="E227" s="185" t="n">
        <v>0</v>
      </c>
      <c r="F227" s="185" t="n">
        <v>0</v>
      </c>
      <c r="G227" s="185" t="n">
        <v>0</v>
      </c>
      <c r="H227" s="185" t="n">
        <v>117</v>
      </c>
      <c r="I227" s="185" t="n">
        <v>0</v>
      </c>
      <c r="J227" s="185" t="n">
        <v>0</v>
      </c>
      <c r="K227" s="185" t="n">
        <v>0</v>
      </c>
      <c r="L227" s="185" t="n">
        <v>0</v>
      </c>
      <c r="M227" s="185" t="n">
        <v>0</v>
      </c>
      <c r="N227" s="185" t="n">
        <v>0</v>
      </c>
      <c r="O227" s="185" t="n">
        <v>0</v>
      </c>
      <c r="P227" s="130" t="n">
        <f aca="false">SUM(D227:O227)</f>
        <v>117</v>
      </c>
      <c r="Q227" s="131" t="n">
        <f aca="false">SUM(D227:J227)</f>
        <v>117</v>
      </c>
      <c r="R227" s="130" t="n">
        <f aca="false">P227-Q227</f>
        <v>0</v>
      </c>
      <c r="S227" s="171"/>
      <c r="T227" s="131" t="n">
        <v>0</v>
      </c>
      <c r="U227" s="131" t="n">
        <v>0</v>
      </c>
      <c r="V227" s="130" t="n">
        <f aca="false">T227-U227</f>
        <v>0</v>
      </c>
      <c r="W227" s="103"/>
      <c r="X227" s="103"/>
      <c r="Y227" s="103"/>
      <c r="Z227" s="103"/>
      <c r="AA227" s="103" t="str">
        <f aca="false">A227</f>
        <v>      Property Summary - GR/IR Clearing</v>
      </c>
      <c r="AB227" s="157" t="n">
        <f aca="false">P227</f>
        <v>117</v>
      </c>
      <c r="AC227" s="131" t="n">
        <f aca="false">SUM(D227:L227)</f>
        <v>117</v>
      </c>
      <c r="AD227" s="130" t="n">
        <f aca="false">AB227-AC227</f>
        <v>0</v>
      </c>
      <c r="AE227" s="103"/>
      <c r="AF227" s="130" t="n">
        <f aca="false">T227</f>
        <v>0</v>
      </c>
      <c r="AG227" s="130" t="n">
        <f aca="false">U227</f>
        <v>0</v>
      </c>
      <c r="AH227" s="130" t="n">
        <f aca="false">AF227-AG227</f>
        <v>0</v>
      </c>
      <c r="AI227" s="103"/>
      <c r="AJ227" s="130" t="n">
        <f aca="false">AC227-AG227</f>
        <v>117</v>
      </c>
      <c r="AK227" s="130" t="n">
        <f aca="false">AB227-AF227</f>
        <v>117</v>
      </c>
      <c r="AL227" s="103"/>
      <c r="AM227" s="131" t="n">
        <v>117</v>
      </c>
      <c r="AN227" s="130" t="n">
        <f aca="false">AB227-AM227</f>
        <v>0</v>
      </c>
      <c r="AO227" s="103"/>
      <c r="AP227" s="131" t="n">
        <v>117</v>
      </c>
      <c r="AQ227" s="130" t="n">
        <f aca="false">AC227-AP227</f>
        <v>0</v>
      </c>
      <c r="AR227" s="103"/>
      <c r="AS227" s="103"/>
      <c r="AT227" s="103"/>
      <c r="AU227" s="103"/>
    </row>
    <row r="228" customFormat="false" ht="12.75" hidden="false" customHeight="true" outlineLevel="0" collapsed="false">
      <c r="A228" s="132" t="s">
        <v>576</v>
      </c>
      <c r="B228" s="172"/>
      <c r="C228" s="172"/>
      <c r="D228" s="185" t="n">
        <v>0</v>
      </c>
      <c r="E228" s="185" t="n">
        <v>0</v>
      </c>
      <c r="F228" s="185" t="n">
        <v>0</v>
      </c>
      <c r="G228" s="185" t="n">
        <v>0</v>
      </c>
      <c r="H228" s="185" t="n">
        <v>0</v>
      </c>
      <c r="I228" s="185" t="n">
        <v>0</v>
      </c>
      <c r="J228" s="185" t="n">
        <v>0</v>
      </c>
      <c r="K228" s="185" t="n">
        <v>0</v>
      </c>
      <c r="L228" s="185" t="n">
        <v>0</v>
      </c>
      <c r="M228" s="185" t="n">
        <v>0</v>
      </c>
      <c r="N228" s="185" t="n">
        <v>0</v>
      </c>
      <c r="O228" s="185" t="n">
        <v>0</v>
      </c>
      <c r="P228" s="130" t="n">
        <f aca="false">SUM(D228:O228)</f>
        <v>0</v>
      </c>
      <c r="Q228" s="131" t="n">
        <f aca="false">SUM(D228:J228)</f>
        <v>0</v>
      </c>
      <c r="R228" s="130" t="n">
        <f aca="false">P228-Q228</f>
        <v>0</v>
      </c>
      <c r="S228" s="171"/>
      <c r="T228" s="131" t="n">
        <v>0</v>
      </c>
      <c r="U228" s="131" t="n">
        <v>0</v>
      </c>
      <c r="V228" s="130" t="n">
        <f aca="false">T228-U228</f>
        <v>0</v>
      </c>
      <c r="W228" s="103"/>
      <c r="X228" s="103"/>
      <c r="Y228" s="103"/>
      <c r="Z228" s="103"/>
      <c r="AA228" s="103" t="str">
        <f aca="false">A228</f>
        <v>      Other</v>
      </c>
      <c r="AB228" s="157" t="n">
        <f aca="false">P228</f>
        <v>0</v>
      </c>
      <c r="AC228" s="131" t="n">
        <f aca="false">SUM(D228:L228)</f>
        <v>0</v>
      </c>
      <c r="AD228" s="130" t="n">
        <f aca="false">AB228-AC228</f>
        <v>0</v>
      </c>
      <c r="AE228" s="103"/>
      <c r="AF228" s="130" t="n">
        <f aca="false">T228</f>
        <v>0</v>
      </c>
      <c r="AG228" s="130" t="n">
        <f aca="false">U228</f>
        <v>0</v>
      </c>
      <c r="AH228" s="130" t="n">
        <f aca="false">AF228-AG228</f>
        <v>0</v>
      </c>
      <c r="AI228" s="103"/>
      <c r="AJ228" s="130" t="n">
        <f aca="false">AC228-AG228</f>
        <v>0</v>
      </c>
      <c r="AK228" s="130" t="n">
        <f aca="false">AB228-AF228</f>
        <v>0</v>
      </c>
      <c r="AL228" s="103"/>
      <c r="AM228" s="131" t="n">
        <v>0</v>
      </c>
      <c r="AN228" s="130" t="n">
        <f aca="false">AB228-AM228</f>
        <v>0</v>
      </c>
      <c r="AO228" s="103"/>
      <c r="AP228" s="131" t="n">
        <v>0</v>
      </c>
      <c r="AQ228" s="130" t="n">
        <f aca="false">AC228-AP228</f>
        <v>0</v>
      </c>
      <c r="AR228" s="103"/>
      <c r="AS228" s="103"/>
      <c r="AT228" s="103"/>
      <c r="AU228" s="103"/>
    </row>
    <row r="229" customFormat="false" ht="12.75" hidden="false" customHeight="true" outlineLevel="0" collapsed="false">
      <c r="A229" s="132" t="s">
        <v>577</v>
      </c>
      <c r="B229" s="172"/>
      <c r="C229" s="172"/>
      <c r="D229" s="185" t="n">
        <v>-267</v>
      </c>
      <c r="E229" s="185" t="n">
        <v>259</v>
      </c>
      <c r="F229" s="185" t="n">
        <v>8</v>
      </c>
      <c r="G229" s="185" t="n">
        <v>0</v>
      </c>
      <c r="H229" s="185" t="n">
        <v>0</v>
      </c>
      <c r="I229" s="185" t="n">
        <v>553</v>
      </c>
      <c r="J229" s="185" t="n">
        <v>0</v>
      </c>
      <c r="K229" s="185" t="n">
        <v>0</v>
      </c>
      <c r="L229" s="185" t="n">
        <v>0</v>
      </c>
      <c r="M229" s="185" t="n">
        <v>0</v>
      </c>
      <c r="N229" s="185" t="n">
        <v>0</v>
      </c>
      <c r="O229" s="190" t="n">
        <v>2300</v>
      </c>
      <c r="P229" s="130" t="n">
        <f aca="false">SUM(D229:O229)</f>
        <v>2853</v>
      </c>
      <c r="Q229" s="131" t="n">
        <f aca="false">SUM(D229:J229)</f>
        <v>553</v>
      </c>
      <c r="R229" s="130" t="n">
        <f aca="false">P229-Q229</f>
        <v>2300</v>
      </c>
      <c r="S229" s="171"/>
      <c r="T229" s="131" t="n">
        <v>9900</v>
      </c>
      <c r="U229" s="131" t="n">
        <v>9900</v>
      </c>
      <c r="V229" s="130" t="n">
        <f aca="false">T229-U229</f>
        <v>0</v>
      </c>
      <c r="W229" s="103"/>
      <c r="X229" s="103"/>
      <c r="Y229" s="103"/>
      <c r="Z229" s="103"/>
      <c r="AA229" s="103" t="str">
        <f aca="false">A229</f>
        <v>      Gain / (Loss) Offset - Various Property Sales</v>
      </c>
      <c r="AB229" s="157" t="n">
        <f aca="false">P229</f>
        <v>2853</v>
      </c>
      <c r="AC229" s="131" t="n">
        <f aca="false">SUM(D229:L229)</f>
        <v>553</v>
      </c>
      <c r="AD229" s="130" t="n">
        <f aca="false">AB229-AC229</f>
        <v>2300</v>
      </c>
      <c r="AE229" s="103"/>
      <c r="AF229" s="130" t="n">
        <f aca="false">T229</f>
        <v>9900</v>
      </c>
      <c r="AG229" s="130" t="n">
        <f aca="false">U229</f>
        <v>9900</v>
      </c>
      <c r="AH229" s="130" t="n">
        <f aca="false">AF229-AG229</f>
        <v>0</v>
      </c>
      <c r="AI229" s="103"/>
      <c r="AJ229" s="130" t="n">
        <f aca="false">AC229-AG229</f>
        <v>-9347</v>
      </c>
      <c r="AK229" s="130" t="n">
        <f aca="false">AB229-AF229</f>
        <v>-7047</v>
      </c>
      <c r="AL229" s="103"/>
      <c r="AM229" s="131" t="n">
        <v>10500</v>
      </c>
      <c r="AN229" s="130" t="n">
        <f aca="false">AB229-AM229</f>
        <v>-7647</v>
      </c>
      <c r="AO229" s="103"/>
      <c r="AP229" s="131" t="n">
        <v>600</v>
      </c>
      <c r="AQ229" s="130" t="n">
        <f aca="false">AC229-AP229</f>
        <v>-47</v>
      </c>
      <c r="AR229" s="103"/>
      <c r="AS229" s="103"/>
      <c r="AT229" s="103"/>
      <c r="AU229" s="103"/>
    </row>
    <row r="230" customFormat="false" ht="12.75" hidden="false" customHeight="true" outlineLevel="0" collapsed="false">
      <c r="A230" s="132" t="s">
        <v>578</v>
      </c>
      <c r="B230" s="172"/>
      <c r="C230" s="172"/>
      <c r="D230" s="185" t="n">
        <v>0</v>
      </c>
      <c r="E230" s="185" t="n">
        <v>0</v>
      </c>
      <c r="F230" s="185" t="n">
        <v>0</v>
      </c>
      <c r="G230" s="185" t="n">
        <v>0</v>
      </c>
      <c r="H230" s="185" t="n">
        <v>0</v>
      </c>
      <c r="I230" s="185" t="n">
        <v>-3353</v>
      </c>
      <c r="J230" s="185" t="n">
        <v>0</v>
      </c>
      <c r="K230" s="185" t="n">
        <v>0</v>
      </c>
      <c r="L230" s="185" t="n">
        <v>0</v>
      </c>
      <c r="M230" s="185" t="n">
        <v>0</v>
      </c>
      <c r="N230" s="185" t="n">
        <v>0</v>
      </c>
      <c r="O230" s="190" t="n">
        <v>-2300</v>
      </c>
      <c r="P230" s="130" t="n">
        <f aca="false">SUM(D230:O230)</f>
        <v>-5653</v>
      </c>
      <c r="Q230" s="131" t="n">
        <f aca="false">SUM(D230:J230)</f>
        <v>-3353</v>
      </c>
      <c r="R230" s="130" t="n">
        <f aca="false">P230-Q230</f>
        <v>-2300</v>
      </c>
      <c r="S230" s="171"/>
      <c r="T230" s="131" t="n">
        <v>-7500</v>
      </c>
      <c r="U230" s="131" t="n">
        <v>-7500</v>
      </c>
      <c r="V230" s="130" t="n">
        <f aca="false">T230-U230</f>
        <v>0</v>
      </c>
      <c r="W230" s="103"/>
      <c r="X230" s="103"/>
      <c r="Y230" s="103"/>
      <c r="Z230" s="103"/>
      <c r="AA230" s="103" t="str">
        <f aca="false">A230</f>
        <v>      Proceeds Offset</v>
      </c>
      <c r="AB230" s="157" t="n">
        <f aca="false">P230</f>
        <v>-5653</v>
      </c>
      <c r="AC230" s="131" t="n">
        <f aca="false">SUM(D230:L230)</f>
        <v>-3353</v>
      </c>
      <c r="AD230" s="130" t="n">
        <f aca="false">AB230-AC230</f>
        <v>-2300</v>
      </c>
      <c r="AE230" s="103"/>
      <c r="AF230" s="130" t="n">
        <f aca="false">T230</f>
        <v>-7500</v>
      </c>
      <c r="AG230" s="130" t="n">
        <f aca="false">U230</f>
        <v>-7500</v>
      </c>
      <c r="AH230" s="130" t="n">
        <f aca="false">AF230-AG230</f>
        <v>0</v>
      </c>
      <c r="AI230" s="103"/>
      <c r="AJ230" s="130" t="n">
        <f aca="false">AC230-AG230</f>
        <v>4147</v>
      </c>
      <c r="AK230" s="130" t="n">
        <f aca="false">AB230-AF230</f>
        <v>1847</v>
      </c>
      <c r="AL230" s="103"/>
      <c r="AM230" s="131" t="n">
        <v>-11500</v>
      </c>
      <c r="AN230" s="130" t="n">
        <f aca="false">AB230-AM230</f>
        <v>5847</v>
      </c>
      <c r="AO230" s="103"/>
      <c r="AP230" s="131" t="n">
        <v>-3400</v>
      </c>
      <c r="AQ230" s="130" t="n">
        <f aca="false">AC230-AP230</f>
        <v>47</v>
      </c>
      <c r="AR230" s="103"/>
      <c r="AS230" s="103"/>
      <c r="AT230" s="103"/>
      <c r="AU230" s="103"/>
    </row>
    <row r="231" customFormat="false" ht="12.75" hidden="false" customHeight="true" outlineLevel="0" collapsed="false">
      <c r="A231" s="132" t="s">
        <v>579</v>
      </c>
      <c r="B231" s="172"/>
      <c r="C231" s="172"/>
      <c r="D231" s="185" t="n">
        <v>0</v>
      </c>
      <c r="E231" s="185" t="n">
        <v>0</v>
      </c>
      <c r="F231" s="185" t="n">
        <v>0</v>
      </c>
      <c r="G231" s="185" t="n">
        <v>0</v>
      </c>
      <c r="H231" s="185" t="n">
        <v>0</v>
      </c>
      <c r="I231" s="185" t="n">
        <v>0</v>
      </c>
      <c r="J231" s="185" t="n">
        <v>0</v>
      </c>
      <c r="K231" s="185" t="n">
        <v>0</v>
      </c>
      <c r="L231" s="185" t="n">
        <v>0</v>
      </c>
      <c r="M231" s="185" t="n">
        <v>0</v>
      </c>
      <c r="N231" s="185" t="n">
        <v>0</v>
      </c>
      <c r="O231" s="185" t="n">
        <v>0</v>
      </c>
      <c r="P231" s="130" t="n">
        <f aca="false">SUM(D231:O231)</f>
        <v>0</v>
      </c>
      <c r="Q231" s="131" t="n">
        <f aca="false">SUM(D231:J231)</f>
        <v>0</v>
      </c>
      <c r="R231" s="130" t="n">
        <f aca="false">P231-Q231</f>
        <v>0</v>
      </c>
      <c r="S231" s="171"/>
      <c r="T231" s="131" t="n">
        <v>0</v>
      </c>
      <c r="U231" s="131" t="n">
        <v>0</v>
      </c>
      <c r="V231" s="130" t="n">
        <f aca="false">T231-U231</f>
        <v>0</v>
      </c>
      <c r="W231" s="103"/>
      <c r="X231" s="103"/>
      <c r="Y231" s="103"/>
      <c r="Z231" s="103"/>
      <c r="AA231" s="103" t="str">
        <f aca="false">A231</f>
        <v>      Long Term Debt Discount FF Reporting Change 2/00</v>
      </c>
      <c r="AB231" s="157" t="n">
        <f aca="false">P231</f>
        <v>0</v>
      </c>
      <c r="AC231" s="131" t="n">
        <f aca="false">SUM(D231:L231)</f>
        <v>0</v>
      </c>
      <c r="AD231" s="130" t="n">
        <f aca="false">AB231-AC231</f>
        <v>0</v>
      </c>
      <c r="AE231" s="103"/>
      <c r="AF231" s="130" t="n">
        <f aca="false">T231</f>
        <v>0</v>
      </c>
      <c r="AG231" s="130" t="n">
        <f aca="false">U231</f>
        <v>0</v>
      </c>
      <c r="AH231" s="130" t="n">
        <f aca="false">AF231-AG231</f>
        <v>0</v>
      </c>
      <c r="AI231" s="103"/>
      <c r="AJ231" s="130" t="n">
        <f aca="false">AC231-AG231</f>
        <v>0</v>
      </c>
      <c r="AK231" s="130" t="n">
        <f aca="false">AB231-AF231</f>
        <v>0</v>
      </c>
      <c r="AL231" s="103"/>
      <c r="AM231" s="131" t="n">
        <v>0</v>
      </c>
      <c r="AN231" s="130" t="n">
        <f aca="false">AB231-AM231</f>
        <v>0</v>
      </c>
      <c r="AO231" s="103"/>
      <c r="AP231" s="131" t="n">
        <v>0</v>
      </c>
      <c r="AQ231" s="130" t="n">
        <f aca="false">AC231-AP231</f>
        <v>0</v>
      </c>
      <c r="AR231" s="103"/>
      <c r="AS231" s="103"/>
      <c r="AT231" s="103"/>
      <c r="AU231" s="103"/>
    </row>
    <row r="232" customFormat="false" ht="12.75" hidden="false" customHeight="true" outlineLevel="0" collapsed="false">
      <c r="A232" s="132" t="s">
        <v>580</v>
      </c>
      <c r="B232" s="172"/>
      <c r="C232" s="172"/>
      <c r="D232" s="185" t="n">
        <v>0</v>
      </c>
      <c r="E232" s="185" t="n">
        <v>0</v>
      </c>
      <c r="F232" s="185" t="n">
        <v>0</v>
      </c>
      <c r="G232" s="185" t="n">
        <v>0</v>
      </c>
      <c r="H232" s="185" t="n">
        <v>0</v>
      </c>
      <c r="I232" s="185" t="n">
        <v>0</v>
      </c>
      <c r="J232" s="185" t="n">
        <v>0</v>
      </c>
      <c r="K232" s="185" t="n">
        <v>0</v>
      </c>
      <c r="L232" s="185" t="n">
        <v>0</v>
      </c>
      <c r="M232" s="185" t="n">
        <v>0</v>
      </c>
      <c r="N232" s="185" t="n">
        <v>0</v>
      </c>
      <c r="O232" s="185" t="n">
        <v>0</v>
      </c>
      <c r="P232" s="130" t="n">
        <f aca="false">SUM(D232:O232)</f>
        <v>0</v>
      </c>
      <c r="Q232" s="131" t="n">
        <f aca="false">SUM(D232:J232)</f>
        <v>0</v>
      </c>
      <c r="R232" s="130" t="n">
        <f aca="false">P232-Q232</f>
        <v>0</v>
      </c>
      <c r="S232" s="171"/>
      <c r="T232" s="131" t="n">
        <v>0</v>
      </c>
      <c r="U232" s="131" t="n">
        <v>0</v>
      </c>
      <c r="V232" s="130" t="n">
        <f aca="false">T232-U232</f>
        <v>0</v>
      </c>
      <c r="W232" s="103"/>
      <c r="X232" s="103"/>
      <c r="Y232" s="103"/>
      <c r="Z232" s="103"/>
      <c r="AA232" s="103" t="str">
        <f aca="false">A232</f>
        <v>      McDay Energy Loan (Investing Activity 7/99 Forward)</v>
      </c>
      <c r="AB232" s="157" t="n">
        <f aca="false">P232</f>
        <v>0</v>
      </c>
      <c r="AC232" s="131" t="n">
        <f aca="false">SUM(D232:L232)</f>
        <v>0</v>
      </c>
      <c r="AD232" s="130" t="n">
        <f aca="false">AB232-AC232</f>
        <v>0</v>
      </c>
      <c r="AE232" s="103"/>
      <c r="AF232" s="130" t="n">
        <f aca="false">T232</f>
        <v>0</v>
      </c>
      <c r="AG232" s="130" t="n">
        <f aca="false">U232</f>
        <v>0</v>
      </c>
      <c r="AH232" s="130" t="n">
        <f aca="false">AF232-AG232</f>
        <v>0</v>
      </c>
      <c r="AI232" s="103"/>
      <c r="AJ232" s="130" t="n">
        <f aca="false">AC232-AG232</f>
        <v>0</v>
      </c>
      <c r="AK232" s="130" t="n">
        <f aca="false">AB232-AF232</f>
        <v>0</v>
      </c>
      <c r="AL232" s="103"/>
      <c r="AM232" s="131" t="n">
        <v>0</v>
      </c>
      <c r="AN232" s="130" t="n">
        <f aca="false">AB232-AM232</f>
        <v>0</v>
      </c>
      <c r="AO232" s="103"/>
      <c r="AP232" s="131" t="n">
        <v>0</v>
      </c>
      <c r="AQ232" s="130" t="n">
        <f aca="false">AC232-AP232</f>
        <v>0</v>
      </c>
      <c r="AR232" s="103"/>
      <c r="AS232" s="103"/>
      <c r="AT232" s="103"/>
      <c r="AU232" s="103"/>
    </row>
    <row r="233" customFormat="false" ht="12.75" hidden="false" customHeight="true" outlineLevel="0" collapsed="false">
      <c r="A233" s="133" t="s">
        <v>581</v>
      </c>
      <c r="B233" s="172"/>
      <c r="C233" s="172"/>
      <c r="D233" s="189" t="n">
        <f aca="false">D330</f>
        <v>524</v>
      </c>
      <c r="E233" s="189" t="n">
        <f aca="false">E330</f>
        <v>815</v>
      </c>
      <c r="F233" s="189" t="n">
        <f aca="false">F330</f>
        <v>349</v>
      </c>
      <c r="G233" s="189" t="n">
        <f aca="false">G330</f>
        <v>-119</v>
      </c>
      <c r="H233" s="189" t="n">
        <f aca="false">H330</f>
        <v>246</v>
      </c>
      <c r="I233" s="189" t="n">
        <f aca="false">I330</f>
        <v>-483</v>
      </c>
      <c r="J233" s="189" t="n">
        <f aca="false">J330</f>
        <v>-470</v>
      </c>
      <c r="K233" s="189" t="n">
        <f aca="false">K330</f>
        <v>-135</v>
      </c>
      <c r="L233" s="189" t="n">
        <f aca="false">L330</f>
        <v>-200</v>
      </c>
      <c r="M233" s="189" t="n">
        <f aca="false">M330</f>
        <v>-227</v>
      </c>
      <c r="N233" s="189" t="n">
        <f aca="false">N330</f>
        <v>-137</v>
      </c>
      <c r="O233" s="189" t="n">
        <f aca="false">O330</f>
        <v>-138</v>
      </c>
      <c r="P233" s="130" t="n">
        <f aca="false">SUM(D233:O233)</f>
        <v>25</v>
      </c>
      <c r="Q233" s="131" t="n">
        <f aca="false">SUM(D233:J233)</f>
        <v>862</v>
      </c>
      <c r="R233" s="130" t="n">
        <f aca="false">P233-Q233</f>
        <v>-837</v>
      </c>
      <c r="S233" s="171"/>
      <c r="T233" s="131" t="n">
        <v>0</v>
      </c>
      <c r="U233" s="131" t="n">
        <v>0</v>
      </c>
      <c r="V233" s="130" t="n">
        <f aca="false">T233-U233</f>
        <v>0</v>
      </c>
      <c r="W233" s="103"/>
      <c r="X233" s="103"/>
      <c r="Y233" s="103"/>
      <c r="Z233" s="103"/>
      <c r="AA233" s="103" t="str">
        <f aca="false">A233</f>
        <v>      Total Current Liability Reserve Activity</v>
      </c>
      <c r="AB233" s="157" t="n">
        <f aca="false">P233</f>
        <v>25</v>
      </c>
      <c r="AC233" s="131" t="n">
        <f aca="false">SUM(D233:L233)</f>
        <v>527</v>
      </c>
      <c r="AD233" s="130" t="n">
        <f aca="false">AB233-AC233</f>
        <v>-502</v>
      </c>
      <c r="AE233" s="103"/>
      <c r="AF233" s="130" t="n">
        <f aca="false">T233</f>
        <v>0</v>
      </c>
      <c r="AG233" s="130" t="n">
        <f aca="false">U233</f>
        <v>0</v>
      </c>
      <c r="AH233" s="130" t="n">
        <f aca="false">AF233-AG233</f>
        <v>0</v>
      </c>
      <c r="AI233" s="103"/>
      <c r="AJ233" s="130" t="n">
        <f aca="false">AC233-AG233</f>
        <v>527</v>
      </c>
      <c r="AK233" s="130" t="n">
        <f aca="false">AB233-AF233</f>
        <v>25</v>
      </c>
      <c r="AL233" s="103"/>
      <c r="AM233" s="131" t="n">
        <v>1629</v>
      </c>
      <c r="AN233" s="130" t="n">
        <f aca="false">AB233-AM233</f>
        <v>-1604</v>
      </c>
      <c r="AO233" s="103"/>
      <c r="AP233" s="131" t="n">
        <v>1629</v>
      </c>
      <c r="AQ233" s="130" t="n">
        <f aca="false">AC233-AP233</f>
        <v>-1102</v>
      </c>
      <c r="AR233" s="103"/>
      <c r="AS233" s="103"/>
      <c r="AT233" s="103"/>
      <c r="AU233" s="103"/>
    </row>
    <row r="234" customFormat="false" ht="12.75" hidden="false" customHeight="true" outlineLevel="0" collapsed="false">
      <c r="A234" s="132" t="s">
        <v>582</v>
      </c>
      <c r="B234" s="172"/>
      <c r="C234" s="172"/>
      <c r="D234" s="185" t="n">
        <v>0</v>
      </c>
      <c r="E234" s="185" t="n">
        <v>0</v>
      </c>
      <c r="F234" s="185" t="n">
        <v>4</v>
      </c>
      <c r="G234" s="185" t="n">
        <v>-14</v>
      </c>
      <c r="H234" s="185" t="n">
        <v>-5</v>
      </c>
      <c r="I234" s="185" t="n">
        <v>0</v>
      </c>
      <c r="J234" s="185" t="n">
        <v>-10</v>
      </c>
      <c r="K234" s="185" t="n">
        <v>0</v>
      </c>
      <c r="L234" s="185" t="n">
        <v>0</v>
      </c>
      <c r="M234" s="185" t="n">
        <v>0</v>
      </c>
      <c r="N234" s="185" t="n">
        <v>0</v>
      </c>
      <c r="O234" s="185" t="n">
        <v>0</v>
      </c>
      <c r="P234" s="130" t="n">
        <f aca="false">SUM(D234:O234)</f>
        <v>-25</v>
      </c>
      <c r="Q234" s="131" t="n">
        <f aca="false">SUM(D234:J234)</f>
        <v>-25</v>
      </c>
      <c r="R234" s="130" t="n">
        <f aca="false">P234-Q234</f>
        <v>0</v>
      </c>
      <c r="S234" s="171"/>
      <c r="T234" s="131" t="n">
        <v>0</v>
      </c>
      <c r="U234" s="131" t="n">
        <v>0</v>
      </c>
      <c r="V234" s="130" t="n">
        <f aca="false">T234-U234</f>
        <v>0</v>
      </c>
      <c r="W234" s="103"/>
      <c r="X234" s="103"/>
      <c r="Y234" s="103"/>
      <c r="Z234" s="103"/>
      <c r="AA234" s="103" t="str">
        <f aca="false">A234</f>
        <v>         McDay Reserve Adjustment</v>
      </c>
      <c r="AB234" s="157" t="n">
        <f aca="false">P234</f>
        <v>-25</v>
      </c>
      <c r="AC234" s="131" t="n">
        <f aca="false">SUM(D234:L234)</f>
        <v>-25</v>
      </c>
      <c r="AD234" s="130" t="n">
        <f aca="false">AB234-AC234</f>
        <v>0</v>
      </c>
      <c r="AE234" s="103"/>
      <c r="AF234" s="130" t="n">
        <f aca="false">T234</f>
        <v>0</v>
      </c>
      <c r="AG234" s="130" t="n">
        <f aca="false">U234</f>
        <v>0</v>
      </c>
      <c r="AH234" s="130" t="n">
        <f aca="false">AF234-AG234</f>
        <v>0</v>
      </c>
      <c r="AI234" s="103"/>
      <c r="AJ234" s="130" t="n">
        <f aca="false">AC234-AG234</f>
        <v>-25</v>
      </c>
      <c r="AK234" s="130" t="n">
        <f aca="false">AB234-AF234</f>
        <v>-25</v>
      </c>
      <c r="AL234" s="103"/>
      <c r="AM234" s="131" t="n">
        <v>0</v>
      </c>
      <c r="AN234" s="130" t="n">
        <f aca="false">AB234-AM234</f>
        <v>-25</v>
      </c>
      <c r="AO234" s="103"/>
      <c r="AP234" s="131" t="n">
        <v>0</v>
      </c>
      <c r="AQ234" s="130" t="n">
        <f aca="false">AC234-AP234</f>
        <v>-25</v>
      </c>
      <c r="AR234" s="103"/>
      <c r="AS234" s="103"/>
      <c r="AT234" s="103"/>
      <c r="AU234" s="103"/>
    </row>
    <row r="235" customFormat="false" ht="12.75" hidden="false" customHeight="true" outlineLevel="0" collapsed="false">
      <c r="A235" s="132" t="s">
        <v>583</v>
      </c>
      <c r="B235" s="172"/>
      <c r="C235" s="172"/>
      <c r="D235" s="175" t="n">
        <f aca="false">D352</f>
        <v>6</v>
      </c>
      <c r="E235" s="175" t="n">
        <f aca="false">E352</f>
        <v>6</v>
      </c>
      <c r="F235" s="175" t="n">
        <f aca="false">F352</f>
        <v>7</v>
      </c>
      <c r="G235" s="175" t="n">
        <f aca="false">G352</f>
        <v>6</v>
      </c>
      <c r="H235" s="175" t="n">
        <f aca="false">H352</f>
        <v>7</v>
      </c>
      <c r="I235" s="175" t="n">
        <f aca="false">I352</f>
        <v>6</v>
      </c>
      <c r="J235" s="175" t="n">
        <f aca="false">J352</f>
        <v>7</v>
      </c>
      <c r="K235" s="175" t="n">
        <f aca="false">K352</f>
        <v>6</v>
      </c>
      <c r="L235" s="175" t="n">
        <f aca="false">L352</f>
        <v>7</v>
      </c>
      <c r="M235" s="175" t="n">
        <f aca="false">M352</f>
        <v>6</v>
      </c>
      <c r="N235" s="175" t="n">
        <f aca="false">N352</f>
        <v>7</v>
      </c>
      <c r="O235" s="175" t="n">
        <f aca="false">O352</f>
        <v>6</v>
      </c>
      <c r="P235" s="130" t="n">
        <f aca="false">SUM(D235:O235)</f>
        <v>77</v>
      </c>
      <c r="Q235" s="131" t="n">
        <f aca="false">SUM(D235:J235)</f>
        <v>45</v>
      </c>
      <c r="R235" s="130" t="n">
        <f aca="false">P235-Q235</f>
        <v>32</v>
      </c>
      <c r="S235" s="171"/>
      <c r="T235" s="131" t="n">
        <v>77</v>
      </c>
      <c r="U235" s="131" t="n">
        <v>58</v>
      </c>
      <c r="V235" s="130" t="n">
        <f aca="false">T235-U235</f>
        <v>19</v>
      </c>
      <c r="W235" s="103"/>
      <c r="X235" s="103"/>
      <c r="Y235" s="103"/>
      <c r="Z235" s="103"/>
      <c r="AA235" s="103" t="str">
        <f aca="false">A235</f>
        <v>      Long Term Debt Discount</v>
      </c>
      <c r="AB235" s="157" t="n">
        <f aca="false">P235</f>
        <v>77</v>
      </c>
      <c r="AC235" s="131" t="n">
        <f aca="false">SUM(D235:L235)</f>
        <v>58</v>
      </c>
      <c r="AD235" s="130" t="n">
        <f aca="false">AB235-AC235</f>
        <v>19</v>
      </c>
      <c r="AE235" s="103"/>
      <c r="AF235" s="130" t="n">
        <f aca="false">T235</f>
        <v>77</v>
      </c>
      <c r="AG235" s="130" t="n">
        <f aca="false">U235</f>
        <v>58</v>
      </c>
      <c r="AH235" s="130" t="n">
        <f aca="false">AF235-AG235</f>
        <v>19</v>
      </c>
      <c r="AI235" s="103"/>
      <c r="AJ235" s="191" t="n">
        <f aca="false">AC235-AG235</f>
        <v>0</v>
      </c>
      <c r="AK235" s="191" t="n">
        <f aca="false">AB235-AF235</f>
        <v>0</v>
      </c>
      <c r="AL235" s="103"/>
      <c r="AM235" s="131" t="n">
        <v>77</v>
      </c>
      <c r="AN235" s="130" t="n">
        <f aca="false">AB235-AM235</f>
        <v>0</v>
      </c>
      <c r="AO235" s="103"/>
      <c r="AP235" s="131" t="n">
        <v>58</v>
      </c>
      <c r="AQ235" s="130" t="n">
        <f aca="false">AC235-AP235</f>
        <v>0</v>
      </c>
      <c r="AR235" s="103"/>
      <c r="AS235" s="103"/>
      <c r="AT235" s="103"/>
      <c r="AU235" s="103"/>
    </row>
    <row r="236" customFormat="false" ht="12.75" hidden="false" customHeight="true" outlineLevel="0" collapsed="false">
      <c r="A236" s="132" t="s">
        <v>584</v>
      </c>
      <c r="B236" s="172"/>
      <c r="C236" s="172"/>
      <c r="D236" s="185" t="n">
        <v>0</v>
      </c>
      <c r="E236" s="185" t="n">
        <v>0</v>
      </c>
      <c r="F236" s="185" t="n">
        <v>0</v>
      </c>
      <c r="G236" s="185" t="n">
        <v>0</v>
      </c>
      <c r="H236" s="185" t="n">
        <v>0</v>
      </c>
      <c r="I236" s="185" t="n">
        <v>0</v>
      </c>
      <c r="J236" s="185" t="n">
        <v>0</v>
      </c>
      <c r="K236" s="185" t="n">
        <v>0</v>
      </c>
      <c r="L236" s="185" t="n">
        <v>0</v>
      </c>
      <c r="M236" s="185" t="n">
        <v>0</v>
      </c>
      <c r="N236" s="185" t="n">
        <v>0</v>
      </c>
      <c r="O236" s="185" t="n">
        <v>0</v>
      </c>
      <c r="P236" s="130" t="n">
        <f aca="false">SUM(D236:O236)</f>
        <v>0</v>
      </c>
      <c r="Q236" s="131" t="n">
        <f aca="false">SUM(D236:J236)</f>
        <v>0</v>
      </c>
      <c r="R236" s="130" t="n">
        <f aca="false">P236-Q236</f>
        <v>0</v>
      </c>
      <c r="S236" s="171"/>
      <c r="T236" s="131" t="n">
        <v>0</v>
      </c>
      <c r="U236" s="131" t="n">
        <v>0</v>
      </c>
      <c r="V236" s="130" t="n">
        <f aca="false">T236-U236</f>
        <v>0</v>
      </c>
      <c r="W236" s="103"/>
      <c r="X236" s="103"/>
      <c r="Y236" s="103"/>
      <c r="Z236" s="103"/>
      <c r="AA236" s="103" t="str">
        <f aca="false">A236</f>
        <v>      Hyperion Adjust. / Reversal (DD&amp;A and Deferred Taxes)</v>
      </c>
      <c r="AB236" s="157" t="n">
        <f aca="false">P236</f>
        <v>0</v>
      </c>
      <c r="AC236" s="131" t="n">
        <f aca="false">SUM(D236:L236)</f>
        <v>0</v>
      </c>
      <c r="AD236" s="130" t="n">
        <f aca="false">AB236-AC236</f>
        <v>0</v>
      </c>
      <c r="AE236" s="103"/>
      <c r="AF236" s="130" t="n">
        <f aca="false">T236</f>
        <v>0</v>
      </c>
      <c r="AG236" s="130" t="n">
        <f aca="false">U236</f>
        <v>0</v>
      </c>
      <c r="AH236" s="130" t="n">
        <f aca="false">AF236-AG236</f>
        <v>0</v>
      </c>
      <c r="AI236" s="103"/>
      <c r="AJ236" s="130" t="n">
        <f aca="false">AC236-AG236</f>
        <v>0</v>
      </c>
      <c r="AK236" s="130" t="n">
        <f aca="false">AB236-AF236</f>
        <v>0</v>
      </c>
      <c r="AL236" s="103"/>
      <c r="AM236" s="131" t="n">
        <v>0</v>
      </c>
      <c r="AN236" s="130" t="n">
        <f aca="false">AB236-AM236</f>
        <v>0</v>
      </c>
      <c r="AO236" s="103"/>
      <c r="AP236" s="131" t="n">
        <v>0</v>
      </c>
      <c r="AQ236" s="130" t="n">
        <f aca="false">AC236-AP236</f>
        <v>0</v>
      </c>
      <c r="AR236" s="103"/>
      <c r="AS236" s="103"/>
      <c r="AT236" s="103"/>
      <c r="AU236" s="103"/>
    </row>
    <row r="237" customFormat="false" ht="12.75" hidden="false" customHeight="true" outlineLevel="0" collapsed="false">
      <c r="A237" s="174" t="s">
        <v>585</v>
      </c>
      <c r="B237" s="172"/>
      <c r="C237" s="172"/>
      <c r="D237" s="178" t="n">
        <f aca="false">D239-SUM(D223:D236)</f>
        <v>1</v>
      </c>
      <c r="E237" s="178" t="n">
        <f aca="false">E239-SUM(E223:E236)</f>
        <v>-2</v>
      </c>
      <c r="F237" s="178" t="n">
        <f aca="false">F239-SUM(F223:F236)</f>
        <v>3</v>
      </c>
      <c r="G237" s="178" t="n">
        <f aca="false">G239-SUM(G223:G236)</f>
        <v>0</v>
      </c>
      <c r="H237" s="178" t="n">
        <f aca="false">H239-SUM(H223:H236)</f>
        <v>-2</v>
      </c>
      <c r="I237" s="178" t="n">
        <f aca="false">I239-SUM(I223:I236)</f>
        <v>-6</v>
      </c>
      <c r="J237" s="178" t="n">
        <f aca="false">J239-SUM(J223:J236)</f>
        <v>0</v>
      </c>
      <c r="K237" s="178" t="n">
        <f aca="false">K239-SUM(K223:K236)</f>
        <v>0</v>
      </c>
      <c r="L237" s="178" t="n">
        <f aca="false">L239-SUM(L223:L236)</f>
        <v>0</v>
      </c>
      <c r="M237" s="178" t="n">
        <f aca="false">M239-SUM(M223:M236)</f>
        <v>0</v>
      </c>
      <c r="N237" s="178" t="n">
        <f aca="false">N239-SUM(N223:N236)</f>
        <v>0</v>
      </c>
      <c r="O237" s="178" t="n">
        <f aca="false">O239-SUM(O223:O236)</f>
        <v>0</v>
      </c>
      <c r="P237" s="143" t="n">
        <f aca="false">SUM(D237:O237)</f>
        <v>-6</v>
      </c>
      <c r="Q237" s="140" t="n">
        <f aca="false">SUM(D237:J237)</f>
        <v>-6</v>
      </c>
      <c r="R237" s="143" t="n">
        <f aca="false">P237-Q237</f>
        <v>0</v>
      </c>
      <c r="S237" s="177"/>
      <c r="T237" s="178" t="n">
        <f aca="false">T239-SUM(T223:T236)</f>
        <v>0</v>
      </c>
      <c r="U237" s="178" t="n">
        <f aca="false">U239-SUM(U223:U236)</f>
        <v>0</v>
      </c>
      <c r="V237" s="143" t="n">
        <f aca="false">T237-U237</f>
        <v>0</v>
      </c>
      <c r="W237" s="103"/>
      <c r="X237" s="103"/>
      <c r="Y237" s="103"/>
      <c r="Z237" s="103"/>
      <c r="AA237" s="103" t="str">
        <f aca="false">A237</f>
        <v>      Others, net</v>
      </c>
      <c r="AB237" s="159" t="n">
        <f aca="false">P237</f>
        <v>-6</v>
      </c>
      <c r="AC237" s="140" t="n">
        <f aca="false">SUM(D237:L237)</f>
        <v>-6</v>
      </c>
      <c r="AD237" s="143" t="n">
        <f aca="false">AB237-AC237</f>
        <v>0</v>
      </c>
      <c r="AE237" s="103"/>
      <c r="AF237" s="143" t="n">
        <f aca="false">T237</f>
        <v>0</v>
      </c>
      <c r="AG237" s="143" t="n">
        <f aca="false">U237</f>
        <v>0</v>
      </c>
      <c r="AH237" s="143" t="n">
        <f aca="false">AF237-AG237</f>
        <v>0</v>
      </c>
      <c r="AI237" s="192"/>
      <c r="AJ237" s="143" t="n">
        <f aca="false">AC237-AG237</f>
        <v>-6</v>
      </c>
      <c r="AK237" s="143" t="n">
        <f aca="false">AB237-AF237</f>
        <v>-6</v>
      </c>
      <c r="AL237" s="103"/>
      <c r="AM237" s="178" t="n">
        <f aca="false">AM239-SUM(AM223:AM236)</f>
        <v>-15</v>
      </c>
      <c r="AN237" s="143" t="n">
        <f aca="false">AB237-AM237</f>
        <v>9</v>
      </c>
      <c r="AO237" s="160"/>
      <c r="AP237" s="178" t="n">
        <f aca="false">AP239-SUM(AP223:AP236)</f>
        <v>-15</v>
      </c>
      <c r="AQ237" s="143" t="n">
        <f aca="false">AC237-AP237</f>
        <v>9</v>
      </c>
      <c r="AR237" s="103"/>
      <c r="AS237" s="103"/>
      <c r="AT237" s="103"/>
      <c r="AU237" s="103"/>
    </row>
    <row r="238" customFormat="false" ht="3.95" hidden="false" customHeight="true" outlineLevel="0" collapsed="false">
      <c r="A238" s="174"/>
      <c r="B238" s="172"/>
      <c r="C238" s="172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171"/>
      <c r="R238" s="171"/>
      <c r="S238" s="171"/>
      <c r="T238" s="171"/>
      <c r="U238" s="171"/>
      <c r="V238" s="103"/>
      <c r="W238" s="103"/>
      <c r="X238" s="103"/>
      <c r="Y238" s="103"/>
      <c r="Z238" s="103"/>
      <c r="AA238" s="100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</row>
    <row r="239" customFormat="false" ht="12.75" hidden="false" customHeight="true" outlineLevel="0" collapsed="false">
      <c r="A239" s="174" t="s">
        <v>586</v>
      </c>
      <c r="B239" s="172"/>
      <c r="C239" s="172"/>
      <c r="D239" s="178" t="n">
        <f aca="false">D241-D220</f>
        <v>264</v>
      </c>
      <c r="E239" s="178" t="n">
        <f aca="false">E241-E220</f>
        <v>1078</v>
      </c>
      <c r="F239" s="178" t="n">
        <f aca="false">F241-F220</f>
        <v>-4671</v>
      </c>
      <c r="G239" s="178" t="n">
        <f aca="false">G241-G220</f>
        <v>-127</v>
      </c>
      <c r="H239" s="178" t="n">
        <f aca="false">H241-H220</f>
        <v>363</v>
      </c>
      <c r="I239" s="178" t="n">
        <f aca="false">I241-I220</f>
        <v>-3283</v>
      </c>
      <c r="J239" s="178" t="n">
        <f aca="false">J241-J220</f>
        <v>-473</v>
      </c>
      <c r="K239" s="178" t="n">
        <f aca="false">K241-K220</f>
        <v>-129</v>
      </c>
      <c r="L239" s="178" t="n">
        <f aca="false">L241-L220</f>
        <v>-193</v>
      </c>
      <c r="M239" s="178" t="n">
        <f aca="false">M241-M220</f>
        <v>-221</v>
      </c>
      <c r="N239" s="178" t="n">
        <f aca="false">N241-N220</f>
        <v>-130</v>
      </c>
      <c r="O239" s="178" t="n">
        <f aca="false">O241-O220</f>
        <v>-132</v>
      </c>
      <c r="P239" s="178" t="n">
        <f aca="false">P241-P220</f>
        <v>-7654</v>
      </c>
      <c r="Q239" s="178" t="n">
        <f aca="false">Q241-Q220</f>
        <v>-6849</v>
      </c>
      <c r="R239" s="178" t="n">
        <f aca="false">R241-R220</f>
        <v>-805</v>
      </c>
      <c r="S239" s="171"/>
      <c r="T239" s="178" t="n">
        <f aca="false">T241-T220</f>
        <v>2477</v>
      </c>
      <c r="U239" s="178" t="n">
        <f aca="false">U241-U220</f>
        <v>2458</v>
      </c>
      <c r="V239" s="178" t="n">
        <f aca="false">V241-V220</f>
        <v>19</v>
      </c>
      <c r="W239" s="103"/>
      <c r="X239" s="103"/>
      <c r="Y239" s="103"/>
      <c r="Z239" s="103"/>
      <c r="AA239" s="103" t="str">
        <f aca="false">A239</f>
        <v>         Subtotal (Financial Reporting)</v>
      </c>
      <c r="AB239" s="178" t="n">
        <f aca="false">AB241-AB220</f>
        <v>-7654</v>
      </c>
      <c r="AC239" s="178" t="n">
        <f aca="false">AC241-AC220</f>
        <v>-7171</v>
      </c>
      <c r="AD239" s="178" t="n">
        <f aca="false">AD241-AD220</f>
        <v>-483</v>
      </c>
      <c r="AE239" s="103"/>
      <c r="AF239" s="178" t="n">
        <f aca="false">AF241-AF220</f>
        <v>2477</v>
      </c>
      <c r="AG239" s="178" t="n">
        <f aca="false">AG241-AG220</f>
        <v>2458</v>
      </c>
      <c r="AH239" s="178" t="n">
        <f aca="false">AH241-AH220</f>
        <v>19</v>
      </c>
      <c r="AI239" s="103"/>
      <c r="AJ239" s="193" t="n">
        <f aca="false">AJ241-AJ220-59+59</f>
        <v>-9629</v>
      </c>
      <c r="AK239" s="193" t="n">
        <f aca="false">AK241-AK220-78+78</f>
        <v>-10131</v>
      </c>
      <c r="AL239" s="103"/>
      <c r="AM239" s="178" t="n">
        <f aca="false">AM241-AM220</f>
        <v>-4234</v>
      </c>
      <c r="AN239" s="178" t="n">
        <f aca="false">AN241-AN220</f>
        <v>-3420</v>
      </c>
      <c r="AO239" s="103"/>
      <c r="AP239" s="178" t="n">
        <f aca="false">AP241-AP220</f>
        <v>-6053</v>
      </c>
      <c r="AQ239" s="178" t="n">
        <f aca="false">AQ241-AQ220</f>
        <v>-1118</v>
      </c>
      <c r="AR239" s="103"/>
      <c r="AS239" s="103"/>
      <c r="AT239" s="103"/>
      <c r="AU239" s="103"/>
    </row>
    <row r="240" customFormat="false" ht="6" hidden="false" customHeight="true" outlineLevel="0" collapsed="false">
      <c r="A240" s="174"/>
      <c r="B240" s="172"/>
      <c r="C240" s="172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  <c r="U240" s="171"/>
      <c r="V240" s="171"/>
      <c r="W240" s="103"/>
      <c r="X240" s="103"/>
      <c r="Y240" s="103"/>
      <c r="Z240" s="103"/>
      <c r="AA240" s="100"/>
      <c r="AB240" s="171"/>
      <c r="AC240" s="171"/>
      <c r="AD240" s="171"/>
      <c r="AE240" s="103"/>
      <c r="AF240" s="171"/>
      <c r="AG240" s="171"/>
      <c r="AH240" s="171"/>
      <c r="AI240" s="103"/>
      <c r="AJ240" s="171"/>
      <c r="AK240" s="171"/>
      <c r="AL240" s="103"/>
      <c r="AM240" s="171"/>
      <c r="AN240" s="171"/>
      <c r="AO240" s="103"/>
      <c r="AP240" s="171"/>
      <c r="AQ240" s="171"/>
      <c r="AR240" s="103"/>
      <c r="AS240" s="103"/>
      <c r="AT240" s="103"/>
      <c r="AU240" s="103"/>
    </row>
    <row r="241" customFormat="false" ht="12.75" hidden="false" customHeight="true" outlineLevel="0" collapsed="false">
      <c r="A241" s="179" t="s">
        <v>587</v>
      </c>
      <c r="B241" s="180"/>
      <c r="C241" s="180"/>
      <c r="D241" s="181" t="n">
        <f aca="false">D12+D34</f>
        <v>1266</v>
      </c>
      <c r="E241" s="181" t="n">
        <f aca="false">E12+E34</f>
        <v>-524</v>
      </c>
      <c r="F241" s="181" t="n">
        <f aca="false">F12+F34</f>
        <v>-3806</v>
      </c>
      <c r="G241" s="181" t="n">
        <f aca="false">G12+G34</f>
        <v>-412</v>
      </c>
      <c r="H241" s="181" t="n">
        <f aca="false">H12+H34</f>
        <v>101</v>
      </c>
      <c r="I241" s="181" t="n">
        <f aca="false">I12+I34</f>
        <v>-1192</v>
      </c>
      <c r="J241" s="181" t="n">
        <f aca="false">J12+J34</f>
        <v>-1202</v>
      </c>
      <c r="K241" s="181" t="n">
        <f aca="false">K12+K34</f>
        <v>-158</v>
      </c>
      <c r="L241" s="181" t="n">
        <f aca="false">L12+L34</f>
        <v>-219</v>
      </c>
      <c r="M241" s="181" t="n">
        <f aca="false">M12+M34</f>
        <v>-161</v>
      </c>
      <c r="N241" s="181" t="n">
        <f aca="false">N12+N34</f>
        <v>-86</v>
      </c>
      <c r="O241" s="181" t="n">
        <f aca="false">O12+O34</f>
        <v>-377</v>
      </c>
      <c r="P241" s="181" t="n">
        <f aca="false">P12+P34</f>
        <v>-6770</v>
      </c>
      <c r="Q241" s="181" t="n">
        <f aca="false">Q12+Q34</f>
        <v>-5769</v>
      </c>
      <c r="R241" s="181" t="n">
        <f aca="false">R12+R34</f>
        <v>-1001</v>
      </c>
      <c r="S241" s="171"/>
      <c r="T241" s="194" t="n">
        <f aca="false">T12+T34+T52-T52</f>
        <v>-7962</v>
      </c>
      <c r="U241" s="194" t="n">
        <f aca="false">U12+U34+U52-U52</f>
        <v>-5862</v>
      </c>
      <c r="V241" s="194" t="n">
        <f aca="false">V12+V34+V52-V52</f>
        <v>-2100</v>
      </c>
      <c r="W241" s="103"/>
      <c r="X241" s="103"/>
      <c r="Y241" s="103"/>
      <c r="Z241" s="103"/>
      <c r="AA241" s="100" t="str">
        <f aca="false">A241</f>
        <v>      Total Other Items</v>
      </c>
      <c r="AB241" s="181" t="n">
        <f aca="false">AB12+AB34</f>
        <v>-6770</v>
      </c>
      <c r="AC241" s="181" t="n">
        <f aca="false">AC12+AC34</f>
        <v>-6146</v>
      </c>
      <c r="AD241" s="181" t="n">
        <f aca="false">AD12+AD34</f>
        <v>-624</v>
      </c>
      <c r="AE241" s="103"/>
      <c r="AF241" s="194" t="n">
        <f aca="false">AF12+AF34+AF52-AF52</f>
        <v>-7962</v>
      </c>
      <c r="AG241" s="194" t="n">
        <f aca="false">AG12+AG34+AG52-AG52</f>
        <v>-5862</v>
      </c>
      <c r="AH241" s="194" t="n">
        <f aca="false">AH12+AH34+AH52-AH52</f>
        <v>-2100</v>
      </c>
      <c r="AI241" s="103"/>
      <c r="AJ241" s="194" t="n">
        <f aca="false">AJ12+AJ34-59+59</f>
        <v>-284</v>
      </c>
      <c r="AK241" s="194" t="n">
        <f aca="false">AK12+AK34-78+78</f>
        <v>1192</v>
      </c>
      <c r="AL241" s="103"/>
      <c r="AM241" s="182" t="n">
        <f aca="false">AM12+AM34</f>
        <v>-7421</v>
      </c>
      <c r="AN241" s="182" t="n">
        <f aca="false">AN12+AN34</f>
        <v>651</v>
      </c>
      <c r="AO241" s="103"/>
      <c r="AP241" s="182" t="n">
        <f aca="false">AP12+AP34</f>
        <v>-7213</v>
      </c>
      <c r="AQ241" s="182" t="n">
        <f aca="false">AQ12+AQ34</f>
        <v>1067</v>
      </c>
      <c r="AR241" s="103"/>
      <c r="AS241" s="103"/>
      <c r="AT241" s="103"/>
      <c r="AU241" s="103"/>
    </row>
    <row r="242" customFormat="false" ht="12.75" hidden="false" customHeight="true" outlineLevel="0" collapsed="false">
      <c r="A242" s="172"/>
      <c r="B242" s="172"/>
      <c r="C242" s="172"/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1"/>
      <c r="P242" s="171"/>
      <c r="Q242" s="171"/>
      <c r="R242" s="171"/>
      <c r="S242" s="171"/>
      <c r="T242" s="171"/>
      <c r="U242" s="171"/>
      <c r="V242" s="171"/>
      <c r="W242" s="103"/>
      <c r="X242" s="103"/>
      <c r="Y242" s="103"/>
      <c r="Z242" s="103"/>
      <c r="AA242" s="100"/>
      <c r="AB242" s="171"/>
      <c r="AC242" s="171"/>
      <c r="AD242" s="171"/>
      <c r="AE242" s="103"/>
      <c r="AF242" s="171"/>
      <c r="AG242" s="171"/>
      <c r="AH242" s="171"/>
      <c r="AI242" s="103"/>
      <c r="AJ242" s="171"/>
      <c r="AK242" s="171"/>
      <c r="AL242" s="103"/>
      <c r="AM242" s="171"/>
      <c r="AN242" s="171"/>
      <c r="AO242" s="103"/>
      <c r="AP242" s="171"/>
      <c r="AQ242" s="171"/>
      <c r="AR242" s="103"/>
      <c r="AS242" s="103"/>
      <c r="AT242" s="103"/>
      <c r="AU242" s="103"/>
    </row>
    <row r="243" customFormat="false" ht="12.75" hidden="false" customHeight="true" outlineLevel="0" collapsed="false">
      <c r="A243" s="179" t="s">
        <v>588</v>
      </c>
      <c r="B243" s="172"/>
      <c r="C243" s="172"/>
      <c r="D243" s="195" t="n">
        <f aca="false">+D241</f>
        <v>1266</v>
      </c>
      <c r="E243" s="195" t="n">
        <f aca="false">+E241</f>
        <v>-524</v>
      </c>
      <c r="F243" s="195" t="n">
        <f aca="false">+F241</f>
        <v>-3806</v>
      </c>
      <c r="G243" s="195" t="n">
        <f aca="false">+G241</f>
        <v>-412</v>
      </c>
      <c r="H243" s="195" t="n">
        <f aca="false">+H241</f>
        <v>101</v>
      </c>
      <c r="I243" s="195" t="n">
        <f aca="false">+I241</f>
        <v>-1192</v>
      </c>
      <c r="J243" s="195" t="n">
        <f aca="false">+J241</f>
        <v>-1202</v>
      </c>
      <c r="K243" s="195" t="n">
        <f aca="false">+K241</f>
        <v>-158</v>
      </c>
      <c r="L243" s="195" t="n">
        <f aca="false">+L241</f>
        <v>-219</v>
      </c>
      <c r="M243" s="195" t="n">
        <f aca="false">+M241</f>
        <v>-161</v>
      </c>
      <c r="N243" s="195" t="n">
        <f aca="false">+N241</f>
        <v>-86</v>
      </c>
      <c r="O243" s="195" t="n">
        <f aca="false">+O241</f>
        <v>-377</v>
      </c>
      <c r="P243" s="195" t="n">
        <f aca="false">+P241</f>
        <v>-6770</v>
      </c>
      <c r="Q243" s="195" t="n">
        <f aca="false">+Q241</f>
        <v>-5769</v>
      </c>
      <c r="R243" s="195" t="n">
        <f aca="false">+R241</f>
        <v>-1001</v>
      </c>
      <c r="S243" s="171"/>
      <c r="T243" s="195" t="n">
        <f aca="false">+T241</f>
        <v>-7962</v>
      </c>
      <c r="U243" s="195" t="n">
        <f aca="false">+U241</f>
        <v>-5862</v>
      </c>
      <c r="V243" s="195" t="n">
        <f aca="false">+V241</f>
        <v>-2100</v>
      </c>
      <c r="W243" s="103"/>
      <c r="X243" s="103"/>
      <c r="Y243" s="103"/>
      <c r="Z243" s="103"/>
      <c r="AA243" s="100" t="str">
        <f aca="false">A243</f>
        <v>TOTAL " OTHER "</v>
      </c>
      <c r="AB243" s="195" t="n">
        <f aca="false">AB241</f>
        <v>-6770</v>
      </c>
      <c r="AC243" s="195" t="n">
        <f aca="false">AC241</f>
        <v>-6146</v>
      </c>
      <c r="AD243" s="195" t="n">
        <f aca="false">AD241</f>
        <v>-624</v>
      </c>
      <c r="AE243" s="103"/>
      <c r="AF243" s="195" t="n">
        <f aca="false">AF241</f>
        <v>-7962</v>
      </c>
      <c r="AG243" s="195" t="n">
        <f aca="false">AG241</f>
        <v>-5862</v>
      </c>
      <c r="AH243" s="195" t="n">
        <f aca="false">AH241</f>
        <v>-2100</v>
      </c>
      <c r="AI243" s="103"/>
      <c r="AJ243" s="195" t="n">
        <f aca="false">AJ241</f>
        <v>-284</v>
      </c>
      <c r="AK243" s="195" t="n">
        <f aca="false">AK241</f>
        <v>1192</v>
      </c>
      <c r="AL243" s="103"/>
      <c r="AM243" s="195" t="n">
        <f aca="false">AM241</f>
        <v>-7421</v>
      </c>
      <c r="AN243" s="195" t="n">
        <f aca="false">AN241</f>
        <v>651</v>
      </c>
      <c r="AO243" s="103"/>
      <c r="AP243" s="195" t="n">
        <f aca="false">AP241</f>
        <v>-7213</v>
      </c>
      <c r="AQ243" s="195" t="n">
        <f aca="false">AQ241</f>
        <v>1067</v>
      </c>
      <c r="AR243" s="103"/>
      <c r="AS243" s="103"/>
      <c r="AT243" s="103"/>
      <c r="AU243" s="103"/>
    </row>
    <row r="244" customFormat="false" ht="12.75" hidden="false" customHeight="true" outlineLevel="0" collapsed="false">
      <c r="A244" s="172"/>
      <c r="B244" s="172"/>
      <c r="C244" s="172"/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1"/>
      <c r="R244" s="171"/>
      <c r="S244" s="171"/>
      <c r="T244" s="171"/>
      <c r="U244" s="171"/>
      <c r="V244" s="103"/>
      <c r="W244" s="103"/>
      <c r="X244" s="103"/>
      <c r="Y244" s="103"/>
      <c r="Z244" s="103"/>
      <c r="AA244" s="100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</row>
    <row r="245" customFormat="false" ht="12.75" hidden="false" customHeight="true" outlineLevel="0" collapsed="false">
      <c r="A245" s="172" t="str">
        <f aca="false">A109</f>
        <v>      CHECK #</v>
      </c>
      <c r="B245" s="172"/>
      <c r="C245" s="172"/>
      <c r="D245" s="157" t="n">
        <f aca="false">D141-D243</f>
        <v>0</v>
      </c>
      <c r="E245" s="157" t="n">
        <f aca="false">E141-E243</f>
        <v>0</v>
      </c>
      <c r="F245" s="157" t="n">
        <f aca="false">F141-F243</f>
        <v>0</v>
      </c>
      <c r="G245" s="157" t="n">
        <f aca="false">G141-G243</f>
        <v>0</v>
      </c>
      <c r="H245" s="157" t="n">
        <f aca="false">H141-H243</f>
        <v>0</v>
      </c>
      <c r="I245" s="157" t="n">
        <f aca="false">I141-I243</f>
        <v>0</v>
      </c>
      <c r="J245" s="157" t="n">
        <f aca="false">J141-J243</f>
        <v>0</v>
      </c>
      <c r="K245" s="157" t="n">
        <f aca="false">K141-K243</f>
        <v>0</v>
      </c>
      <c r="L245" s="157" t="n">
        <f aca="false">L141-L243</f>
        <v>0</v>
      </c>
      <c r="M245" s="157" t="n">
        <f aca="false">M141-M243</f>
        <v>0</v>
      </c>
      <c r="N245" s="157" t="n">
        <f aca="false">N141-N243</f>
        <v>0</v>
      </c>
      <c r="O245" s="157" t="n">
        <f aca="false">O141-O243</f>
        <v>0</v>
      </c>
      <c r="P245" s="157" t="n">
        <f aca="false">P141-P243</f>
        <v>0</v>
      </c>
      <c r="Q245" s="157" t="n">
        <f aca="false">Q141-Q243</f>
        <v>0</v>
      </c>
      <c r="R245" s="157" t="n">
        <f aca="false">R141-R243</f>
        <v>0</v>
      </c>
      <c r="S245" s="187"/>
      <c r="T245" s="157" t="n">
        <f aca="false">T141-T243</f>
        <v>0</v>
      </c>
      <c r="U245" s="157" t="n">
        <f aca="false">U141-U243</f>
        <v>0</v>
      </c>
      <c r="V245" s="157" t="n">
        <f aca="false">V141-V243</f>
        <v>0</v>
      </c>
      <c r="W245" s="157"/>
      <c r="X245" s="157"/>
      <c r="Y245" s="157"/>
      <c r="Z245" s="157"/>
      <c r="AA245" s="157" t="str">
        <f aca="false">A245</f>
        <v>      CHECK #</v>
      </c>
      <c r="AB245" s="157" t="n">
        <f aca="false">AB141-AB243</f>
        <v>0</v>
      </c>
      <c r="AC245" s="157" t="n">
        <f aca="false">AC141-AC243</f>
        <v>0</v>
      </c>
      <c r="AD245" s="157" t="n">
        <f aca="false">AD141-AD243</f>
        <v>0</v>
      </c>
      <c r="AE245" s="157"/>
      <c r="AF245" s="157" t="n">
        <f aca="false">AF141-AF243</f>
        <v>0</v>
      </c>
      <c r="AG245" s="157" t="n">
        <f aca="false">AG141-AG243</f>
        <v>0</v>
      </c>
      <c r="AH245" s="157" t="n">
        <f aca="false">AH141-AH243</f>
        <v>0</v>
      </c>
      <c r="AI245" s="157"/>
      <c r="AJ245" s="157" t="n">
        <f aca="false">AJ141-AJ243</f>
        <v>0</v>
      </c>
      <c r="AK245" s="157" t="n">
        <f aca="false">AK141-AK243</f>
        <v>0</v>
      </c>
      <c r="AL245" s="157"/>
      <c r="AM245" s="157" t="n">
        <f aca="false">AM141-AM243</f>
        <v>0</v>
      </c>
      <c r="AN245" s="157" t="n">
        <f aca="false">AN141-AN243</f>
        <v>0</v>
      </c>
      <c r="AO245" s="157"/>
      <c r="AP245" s="157" t="n">
        <f aca="false">AP141-AP243</f>
        <v>0</v>
      </c>
      <c r="AQ245" s="157" t="n">
        <f aca="false">AQ141-AQ243</f>
        <v>0</v>
      </c>
      <c r="AR245" s="157"/>
      <c r="AS245" s="103"/>
      <c r="AT245" s="103"/>
      <c r="AU245" s="103"/>
    </row>
    <row r="246" customFormat="false" ht="6" hidden="false" customHeight="true" outlineLevel="0" collapsed="false">
      <c r="A246" s="171"/>
      <c r="B246" s="171"/>
      <c r="C246" s="171"/>
      <c r="D246" s="171"/>
      <c r="E246" s="171"/>
      <c r="F246" s="171"/>
      <c r="G246" s="171"/>
      <c r="H246" s="171"/>
      <c r="I246" s="171"/>
      <c r="J246" s="171"/>
      <c r="K246" s="171"/>
      <c r="L246" s="171"/>
      <c r="M246" s="171"/>
      <c r="N246" s="171"/>
      <c r="O246" s="171"/>
      <c r="P246" s="171"/>
      <c r="Q246" s="171"/>
      <c r="R246" s="171"/>
      <c r="S246" s="171"/>
      <c r="T246" s="171"/>
      <c r="U246" s="171"/>
      <c r="V246" s="103"/>
      <c r="W246" s="103"/>
      <c r="X246" s="103"/>
      <c r="Y246" s="103"/>
      <c r="Z246" s="103"/>
      <c r="AA246" s="100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</row>
    <row r="247" customFormat="false" ht="12.75" hidden="false" customHeight="true" outlineLevel="0" collapsed="false">
      <c r="A247" s="100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0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  <c r="AR247" s="103"/>
      <c r="AS247" s="103"/>
      <c r="AT247" s="103"/>
      <c r="AU247" s="103"/>
    </row>
    <row r="248" customFormat="false" ht="12.75" hidden="false" customHeight="false" outlineLevel="0" collapsed="false">
      <c r="A248" s="104" t="str">
        <f aca="false">A1</f>
        <v>'file:///mnt/12tb/@roms/datasets/enron/EDRM Enron Email Data Set v2 XML/filtered-attachments/xls/NNG3rdCECF.xls'#$BACKUP</v>
      </c>
      <c r="B248" s="100"/>
      <c r="C248" s="100"/>
      <c r="D248" s="100"/>
      <c r="E248" s="100"/>
      <c r="F248" s="100"/>
      <c r="G248" s="100"/>
      <c r="H248" s="151"/>
      <c r="I248" s="105" t="str">
        <f aca="false">I1</f>
        <v>NORTHERN NATURAL GAS GROUP</v>
      </c>
      <c r="J248" s="105"/>
      <c r="K248" s="105"/>
      <c r="L248" s="105"/>
      <c r="M248" s="100"/>
      <c r="N248" s="100"/>
      <c r="O248" s="100"/>
      <c r="P248" s="100"/>
      <c r="Q248" s="100"/>
      <c r="R248" s="100"/>
      <c r="S248" s="100"/>
      <c r="T248" s="106"/>
      <c r="U248" s="102" t="n">
        <f aca="true">NOW()</f>
        <v>45926.9494835398</v>
      </c>
      <c r="V248" s="103"/>
      <c r="W248" s="103"/>
      <c r="X248" s="103"/>
      <c r="Y248" s="103"/>
      <c r="Z248" s="103"/>
      <c r="AA248" s="100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</row>
    <row r="249" customFormat="false" ht="12.75" hidden="false" customHeight="false" outlineLevel="0" collapsed="false">
      <c r="A249" s="107" t="s">
        <v>589</v>
      </c>
      <c r="B249" s="100"/>
      <c r="C249" s="100"/>
      <c r="D249" s="100"/>
      <c r="E249" s="100"/>
      <c r="F249" s="100"/>
      <c r="G249" s="100"/>
      <c r="H249" s="151"/>
      <c r="I249" s="105" t="str">
        <f aca="false">I2</f>
        <v>CASH FLOW STATEMENT</v>
      </c>
      <c r="J249" s="105"/>
      <c r="K249" s="105"/>
      <c r="L249" s="105"/>
      <c r="M249" s="100"/>
      <c r="N249" s="100"/>
      <c r="O249" s="100"/>
      <c r="P249" s="100"/>
      <c r="Q249" s="100"/>
      <c r="R249" s="100"/>
      <c r="S249" s="100"/>
      <c r="T249" s="110"/>
      <c r="U249" s="109" t="n">
        <f aca="true">NOW()</f>
        <v>45926.9494835399</v>
      </c>
      <c r="V249" s="103"/>
      <c r="W249" s="103"/>
      <c r="X249" s="103"/>
      <c r="Y249" s="103"/>
      <c r="Z249" s="103"/>
      <c r="AA249" s="100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</row>
    <row r="250" customFormat="false" ht="12.75" hidden="false" customHeight="false" outlineLevel="0" collapsed="false">
      <c r="A250" s="100"/>
      <c r="B250" s="100"/>
      <c r="C250" s="100"/>
      <c r="D250" s="100"/>
      <c r="E250" s="100"/>
      <c r="F250" s="100"/>
      <c r="G250" s="100"/>
      <c r="H250" s="151"/>
      <c r="I250" s="105" t="str">
        <f aca="false">I3</f>
        <v>2001 ACTUAL / ESTIMATE</v>
      </c>
      <c r="J250" s="105"/>
      <c r="K250" s="105"/>
      <c r="L250" s="105"/>
      <c r="M250" s="100"/>
      <c r="N250" s="100"/>
      <c r="O250" s="100"/>
      <c r="P250" s="100"/>
      <c r="Q250" s="100"/>
      <c r="R250" s="100"/>
      <c r="S250" s="100"/>
      <c r="T250" s="100"/>
      <c r="U250" s="100"/>
      <c r="V250" s="103"/>
      <c r="W250" s="103"/>
      <c r="X250" s="103"/>
      <c r="Y250" s="103"/>
      <c r="Z250" s="103"/>
      <c r="AA250" s="100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3"/>
      <c r="AU250" s="103"/>
    </row>
    <row r="251" customFormat="false" ht="12.75" hidden="false" customHeight="false" outlineLevel="0" collapsed="false">
      <c r="A251" s="100"/>
      <c r="B251" s="100"/>
      <c r="C251" s="100"/>
      <c r="D251" s="100"/>
      <c r="E251" s="100"/>
      <c r="F251" s="100"/>
      <c r="G251" s="100"/>
      <c r="H251" s="151"/>
      <c r="I251" s="105" t="str">
        <f aca="false">I4</f>
        <v>(Thousands of Dollars)</v>
      </c>
      <c r="J251" s="105"/>
      <c r="K251" s="105"/>
      <c r="L251" s="105"/>
      <c r="M251" s="100"/>
      <c r="N251" s="100"/>
      <c r="O251" s="100"/>
      <c r="P251" s="100"/>
      <c r="Q251" s="100"/>
      <c r="R251" s="100"/>
      <c r="S251" s="100"/>
      <c r="T251" s="100"/>
      <c r="U251" s="100"/>
      <c r="V251" s="103"/>
      <c r="W251" s="103"/>
      <c r="X251" s="103"/>
      <c r="Y251" s="103"/>
      <c r="Z251" s="103"/>
      <c r="AA251" s="100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  <c r="AT251" s="103"/>
      <c r="AU251" s="103"/>
    </row>
    <row r="252" customFormat="false" ht="12.75" hidden="false" customHeight="false" outlineLevel="0" collapsed="false">
      <c r="A252" s="196" t="s">
        <v>590</v>
      </c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3"/>
      <c r="W252" s="103"/>
      <c r="X252" s="103"/>
      <c r="Y252" s="103"/>
      <c r="Z252" s="103"/>
      <c r="AA252" s="100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</row>
    <row r="253" customFormat="false" ht="12.75" hidden="false" customHeight="false" outlineLevel="0" collapsed="false">
      <c r="A253" s="100"/>
      <c r="B253" s="100"/>
      <c r="C253" s="100"/>
      <c r="D253" s="100"/>
      <c r="E253" s="100"/>
      <c r="F253" s="112"/>
      <c r="G253" s="100"/>
      <c r="H253" s="100"/>
      <c r="I253" s="100"/>
      <c r="J253" s="112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3"/>
      <c r="W253" s="103"/>
      <c r="X253" s="103"/>
      <c r="Y253" s="103"/>
      <c r="Z253" s="103"/>
      <c r="AA253" s="100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</row>
    <row r="254" customFormat="false" ht="12.75" hidden="false" customHeight="false" outlineLevel="0" collapsed="false">
      <c r="A254" s="100"/>
      <c r="B254" s="100"/>
      <c r="C254" s="100"/>
      <c r="D254" s="114" t="str">
        <f aca="false">D6</f>
        <v>ACT.</v>
      </c>
      <c r="E254" s="114" t="str">
        <f aca="false">E6</f>
        <v>ACT.</v>
      </c>
      <c r="F254" s="114" t="str">
        <f aca="false">F6</f>
        <v>ACT.</v>
      </c>
      <c r="G254" s="114" t="str">
        <f aca="false">G6</f>
        <v>ACT.</v>
      </c>
      <c r="H254" s="114" t="str">
        <f aca="false">H6</f>
        <v>ACT.</v>
      </c>
      <c r="I254" s="114" t="str">
        <f aca="false">I6</f>
        <v>ACT.</v>
      </c>
      <c r="J254" s="114" t="str">
        <f aca="false">J6</f>
        <v>ACT.</v>
      </c>
      <c r="K254" s="114" t="str">
        <f aca="false">K6</f>
        <v>ACT.</v>
      </c>
      <c r="L254" s="114" t="str">
        <f aca="false">L6</f>
        <v>3rd CE</v>
      </c>
      <c r="M254" s="114" t="str">
        <f aca="false">M6</f>
        <v>3rd CE</v>
      </c>
      <c r="N254" s="114" t="str">
        <f aca="false">N6</f>
        <v>3rd CE</v>
      </c>
      <c r="O254" s="114" t="str">
        <f aca="false">O6</f>
        <v>3rd CE</v>
      </c>
      <c r="P254" s="114" t="str">
        <f aca="false">P6</f>
        <v>TOTAL</v>
      </c>
      <c r="Q254" s="114" t="str">
        <f aca="false">Q6</f>
        <v>JULY</v>
      </c>
      <c r="R254" s="114" t="str">
        <f aca="false">R6</f>
        <v>ESTIMATED</v>
      </c>
      <c r="S254" s="100"/>
      <c r="T254" s="119" t="s">
        <v>591</v>
      </c>
      <c r="U254" s="119"/>
      <c r="V254" s="103"/>
      <c r="W254" s="103"/>
      <c r="X254" s="103"/>
      <c r="Y254" s="103"/>
      <c r="Z254" s="103"/>
      <c r="AA254" s="100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  <c r="AT254" s="103"/>
      <c r="AU254" s="103"/>
    </row>
    <row r="255" customFormat="false" ht="12.75" hidden="false" customHeight="false" outlineLevel="0" collapsed="false">
      <c r="A255" s="100"/>
      <c r="B255" s="100"/>
      <c r="C255" s="100"/>
      <c r="D255" s="126" t="str">
        <f aca="false">D7</f>
        <v>JAN</v>
      </c>
      <c r="E255" s="126" t="str">
        <f aca="false">E7</f>
        <v>FEB</v>
      </c>
      <c r="F255" s="126" t="str">
        <f aca="false">F7</f>
        <v>MAR</v>
      </c>
      <c r="G255" s="126" t="str">
        <f aca="false">G7</f>
        <v>APR</v>
      </c>
      <c r="H255" s="126" t="str">
        <f aca="false">H7</f>
        <v>MAY</v>
      </c>
      <c r="I255" s="126" t="str">
        <f aca="false">I7</f>
        <v>JUN</v>
      </c>
      <c r="J255" s="126" t="str">
        <f aca="false">J7</f>
        <v>JUL</v>
      </c>
      <c r="K255" s="126" t="str">
        <f aca="false">K7</f>
        <v>AUG</v>
      </c>
      <c r="L255" s="126" t="str">
        <f aca="false">L7</f>
        <v>SEP</v>
      </c>
      <c r="M255" s="126" t="str">
        <f aca="false">M7</f>
        <v>OCT</v>
      </c>
      <c r="N255" s="126" t="str">
        <f aca="false">N7</f>
        <v>NOV</v>
      </c>
      <c r="O255" s="126" t="str">
        <f aca="false">O7</f>
        <v>DEC</v>
      </c>
      <c r="P255" s="126" t="n">
        <f aca="false">P7</f>
        <v>2001</v>
      </c>
      <c r="Q255" s="126" t="str">
        <f aca="false">Q7</f>
        <v>Y-T-D</v>
      </c>
      <c r="R255" s="126" t="str">
        <f aca="false">R7</f>
        <v>R.M.</v>
      </c>
      <c r="S255" s="100"/>
      <c r="T255" s="197" t="s">
        <v>454</v>
      </c>
      <c r="U255" s="197" t="s">
        <v>4</v>
      </c>
      <c r="V255" s="103"/>
      <c r="W255" s="103"/>
      <c r="X255" s="103"/>
      <c r="Y255" s="103"/>
      <c r="Z255" s="103"/>
      <c r="AA255" s="100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</row>
    <row r="256" customFormat="false" ht="6" hidden="false" customHeight="true" outlineLevel="0" collapsed="false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0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</row>
    <row r="257" customFormat="false" ht="12.75" hidden="false" customHeight="false" outlineLevel="0" collapsed="false">
      <c r="A257" s="155" t="str">
        <f aca="false">BACKUP!A13</f>
        <v>Cash / Temporary Cash Investments - End. Balance</v>
      </c>
      <c r="B257" s="103"/>
      <c r="C257" s="103"/>
      <c r="D257" s="130" t="n">
        <f aca="false">BACKUP!D13</f>
        <v>53</v>
      </c>
      <c r="E257" s="130" t="n">
        <f aca="false">BACKUP!E13</f>
        <v>53</v>
      </c>
      <c r="F257" s="130" t="n">
        <f aca="false">BACKUP!F13</f>
        <v>53</v>
      </c>
      <c r="G257" s="130" t="n">
        <f aca="false">BACKUP!G13</f>
        <v>53</v>
      </c>
      <c r="H257" s="130" t="n">
        <f aca="false">BACKUP!H13</f>
        <v>53</v>
      </c>
      <c r="I257" s="130" t="n">
        <f aca="false">BACKUP!I13</f>
        <v>53</v>
      </c>
      <c r="J257" s="130" t="n">
        <f aca="false">BACKUP!J13</f>
        <v>53</v>
      </c>
      <c r="K257" s="130" t="n">
        <f aca="false">BACKUP!K13</f>
        <v>53</v>
      </c>
      <c r="L257" s="130" t="n">
        <f aca="false">BACKUP!L13</f>
        <v>53</v>
      </c>
      <c r="M257" s="130" t="n">
        <f aca="false">BACKUP!M13</f>
        <v>53</v>
      </c>
      <c r="N257" s="130" t="n">
        <f aca="false">BACKUP!N13</f>
        <v>53</v>
      </c>
      <c r="O257" s="130" t="n">
        <f aca="false">BACKUP!O13</f>
        <v>53</v>
      </c>
      <c r="P257" s="130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0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</row>
    <row r="258" customFormat="false" ht="12" hidden="false" customHeight="true" outlineLevel="0" collapsed="false">
      <c r="A258" s="130" t="str">
        <f aca="false">BACKUP!A15</f>
        <v>      Change</v>
      </c>
      <c r="B258" s="103"/>
      <c r="C258" s="118" t="s">
        <v>592</v>
      </c>
      <c r="D258" s="130" t="n">
        <f aca="false">BACKUP!D15</f>
        <v>0</v>
      </c>
      <c r="E258" s="130" t="n">
        <f aca="false">BACKUP!E15</f>
        <v>0</v>
      </c>
      <c r="F258" s="130" t="n">
        <f aca="false">BACKUP!F15</f>
        <v>0</v>
      </c>
      <c r="G258" s="130" t="n">
        <f aca="false">BACKUP!G15</f>
        <v>0</v>
      </c>
      <c r="H258" s="130" t="n">
        <f aca="false">BACKUP!H15</f>
        <v>0</v>
      </c>
      <c r="I258" s="130" t="n">
        <f aca="false">BACKUP!I15</f>
        <v>0</v>
      </c>
      <c r="J258" s="130" t="n">
        <f aca="false">BACKUP!J15</f>
        <v>0</v>
      </c>
      <c r="K258" s="130" t="n">
        <f aca="false">BACKUP!K15</f>
        <v>0</v>
      </c>
      <c r="L258" s="130" t="n">
        <f aca="false">BACKUP!L15</f>
        <v>0</v>
      </c>
      <c r="M258" s="130" t="n">
        <f aca="false">BACKUP!M15</f>
        <v>0</v>
      </c>
      <c r="N258" s="130" t="n">
        <f aca="false">BACKUP!N15</f>
        <v>0</v>
      </c>
      <c r="O258" s="130" t="n">
        <f aca="false">BACKUP!O15</f>
        <v>0</v>
      </c>
      <c r="P258" s="130" t="n">
        <f aca="false">SUM(D258:O258)</f>
        <v>0</v>
      </c>
      <c r="Q258" s="131" t="n">
        <f aca="false">SUM(D258:J258)</f>
        <v>0</v>
      </c>
      <c r="R258" s="130" t="n">
        <f aca="false">P258-Q258</f>
        <v>0</v>
      </c>
      <c r="S258" s="103"/>
      <c r="T258" s="131" t="n">
        <v>0</v>
      </c>
      <c r="U258" s="131" t="n">
        <v>0</v>
      </c>
      <c r="V258" s="103"/>
      <c r="W258" s="103"/>
      <c r="X258" s="103"/>
      <c r="Y258" s="103"/>
      <c r="Z258" s="103"/>
      <c r="AA258" s="100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</row>
    <row r="259" customFormat="false" ht="12.75" hidden="false" customHeight="false" outlineLevel="0" collapsed="false">
      <c r="A259" s="103"/>
      <c r="B259" s="103"/>
      <c r="C259" s="118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30"/>
      <c r="V259" s="103"/>
      <c r="W259" s="103"/>
      <c r="X259" s="103"/>
      <c r="Y259" s="103"/>
      <c r="Z259" s="103"/>
      <c r="AA259" s="100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  <c r="AT259" s="103"/>
      <c r="AU259" s="103"/>
    </row>
    <row r="260" customFormat="false" ht="12.75" hidden="false" customHeight="false" outlineLevel="0" collapsed="false">
      <c r="A260" s="155" t="str">
        <f aca="false">BACKUP!A132</f>
        <v>Investments &amp; Other Assets - End. Balance</v>
      </c>
      <c r="B260" s="103"/>
      <c r="C260" s="118"/>
      <c r="D260" s="130" t="n">
        <f aca="false">BACKUP!D132</f>
        <v>3728</v>
      </c>
      <c r="E260" s="130" t="n">
        <f aca="false">BACKUP!E132</f>
        <v>3728</v>
      </c>
      <c r="F260" s="130" t="n">
        <f aca="false">BACKUP!F132</f>
        <v>3728</v>
      </c>
      <c r="G260" s="130" t="n">
        <f aca="false">BACKUP!G132</f>
        <v>3728</v>
      </c>
      <c r="H260" s="130" t="n">
        <f aca="false">BACKUP!H132</f>
        <v>3728</v>
      </c>
      <c r="I260" s="130" t="n">
        <f aca="false">BACKUP!I132</f>
        <v>3728</v>
      </c>
      <c r="J260" s="130" t="n">
        <f aca="false">BACKUP!J132</f>
        <v>3728</v>
      </c>
      <c r="K260" s="130" t="n">
        <f aca="false">BACKUP!K132</f>
        <v>3728</v>
      </c>
      <c r="L260" s="130" t="n">
        <f aca="false">BACKUP!L132</f>
        <v>3728</v>
      </c>
      <c r="M260" s="130" t="n">
        <f aca="false">BACKUP!M132</f>
        <v>3728</v>
      </c>
      <c r="N260" s="130" t="n">
        <f aca="false">BACKUP!N132</f>
        <v>3728</v>
      </c>
      <c r="O260" s="130" t="n">
        <f aca="false">BACKUP!O132</f>
        <v>3728</v>
      </c>
      <c r="P260" s="130"/>
      <c r="Q260" s="130"/>
      <c r="R260" s="130"/>
      <c r="S260" s="103"/>
      <c r="T260" s="130"/>
      <c r="U260" s="130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</row>
    <row r="261" customFormat="false" ht="12.75" hidden="false" customHeight="false" outlineLevel="0" collapsed="false">
      <c r="A261" s="130" t="str">
        <f aca="false">BACKUP!A134</f>
        <v>      Change</v>
      </c>
      <c r="B261" s="103"/>
      <c r="C261" s="118" t="s">
        <v>593</v>
      </c>
      <c r="D261" s="130" t="n">
        <f aca="false">BACKUP!D134</f>
        <v>0</v>
      </c>
      <c r="E261" s="130" t="n">
        <f aca="false">BACKUP!E134</f>
        <v>0</v>
      </c>
      <c r="F261" s="130" t="n">
        <f aca="false">BACKUP!F134</f>
        <v>0</v>
      </c>
      <c r="G261" s="130" t="n">
        <f aca="false">BACKUP!G134</f>
        <v>0</v>
      </c>
      <c r="H261" s="130" t="n">
        <f aca="false">BACKUP!H134</f>
        <v>0</v>
      </c>
      <c r="I261" s="130" t="n">
        <f aca="false">BACKUP!I134</f>
        <v>0</v>
      </c>
      <c r="J261" s="130" t="n">
        <f aca="false">BACKUP!J134</f>
        <v>0</v>
      </c>
      <c r="K261" s="130" t="n">
        <f aca="false">BACKUP!K134</f>
        <v>0</v>
      </c>
      <c r="L261" s="130" t="n">
        <f aca="false">BACKUP!L134</f>
        <v>0</v>
      </c>
      <c r="M261" s="130" t="n">
        <f aca="false">BACKUP!M134</f>
        <v>0</v>
      </c>
      <c r="N261" s="130" t="n">
        <f aca="false">BACKUP!N134</f>
        <v>0</v>
      </c>
      <c r="O261" s="130" t="n">
        <f aca="false">BACKUP!O134</f>
        <v>0</v>
      </c>
      <c r="P261" s="130" t="n">
        <f aca="false">SUM(D261:O261)</f>
        <v>0</v>
      </c>
      <c r="Q261" s="131" t="n">
        <f aca="false">SUM(D261:J261)</f>
        <v>0</v>
      </c>
      <c r="R261" s="130" t="n">
        <f aca="false">P261-Q261</f>
        <v>0</v>
      </c>
      <c r="S261" s="103"/>
      <c r="T261" s="131" t="n">
        <v>0</v>
      </c>
      <c r="U261" s="131" t="n">
        <v>0</v>
      </c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</row>
    <row r="262" customFormat="false" ht="12.75" hidden="false" customHeight="false" outlineLevel="0" collapsed="false">
      <c r="A262" s="103"/>
      <c r="B262" s="103"/>
      <c r="C262" s="118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30"/>
      <c r="U262" s="130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</row>
    <row r="263" customFormat="false" ht="12.75" hidden="false" customHeight="false" outlineLevel="0" collapsed="false">
      <c r="A263" s="155" t="str">
        <f aca="false">BACKUP!A148</f>
        <v>Plant - Beg. Balance</v>
      </c>
      <c r="B263" s="103"/>
      <c r="C263" s="118"/>
      <c r="D263" s="130" t="n">
        <f aca="false">BACKUP!D148</f>
        <v>2743864</v>
      </c>
      <c r="E263" s="130" t="n">
        <f aca="false">BACKUP!E148</f>
        <v>2789700</v>
      </c>
      <c r="F263" s="130" t="n">
        <f aca="false">BACKUP!F148</f>
        <v>2799985</v>
      </c>
      <c r="G263" s="130" t="n">
        <f aca="false">BACKUP!G148</f>
        <v>2802242</v>
      </c>
      <c r="H263" s="130" t="n">
        <f aca="false">BACKUP!H148</f>
        <v>2797139</v>
      </c>
      <c r="I263" s="130" t="n">
        <f aca="false">BACKUP!I148</f>
        <v>2796071</v>
      </c>
      <c r="J263" s="130" t="n">
        <f aca="false">BACKUP!J148</f>
        <v>2790132</v>
      </c>
      <c r="K263" s="130" t="n">
        <f aca="false">BACKUP!K148</f>
        <v>2774979</v>
      </c>
      <c r="L263" s="130" t="n">
        <f aca="false">BACKUP!L148</f>
        <v>2783475</v>
      </c>
      <c r="M263" s="130" t="n">
        <f aca="false">BACKUP!M148</f>
        <v>2794875</v>
      </c>
      <c r="N263" s="130" t="n">
        <f aca="false">BACKUP!N148</f>
        <v>2803836</v>
      </c>
      <c r="O263" s="130" t="n">
        <f aca="false">BACKUP!O148</f>
        <v>2812795</v>
      </c>
      <c r="P263" s="130"/>
      <c r="Q263" s="130"/>
      <c r="R263" s="130"/>
      <c r="S263" s="103"/>
      <c r="T263" s="130"/>
      <c r="U263" s="130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</row>
    <row r="264" customFormat="false" ht="12.75" hidden="false" customHeight="false" outlineLevel="0" collapsed="false">
      <c r="A264" s="130" t="str">
        <f aca="false">BACKUP!A149</f>
        <v>   Capital Expenditures (Rudy) - Base Amt. </v>
      </c>
      <c r="B264" s="103"/>
      <c r="C264" s="118" t="s">
        <v>594</v>
      </c>
      <c r="D264" s="130" t="n">
        <f aca="false">BACKUP!D149</f>
        <v>2282</v>
      </c>
      <c r="E264" s="130" t="n">
        <f aca="false">BACKUP!E149</f>
        <v>-861</v>
      </c>
      <c r="F264" s="130" t="n">
        <f aca="false">BACKUP!F149</f>
        <v>3798</v>
      </c>
      <c r="G264" s="130" t="n">
        <f aca="false">BACKUP!G149</f>
        <v>4249</v>
      </c>
      <c r="H264" s="130" t="n">
        <f aca="false">BACKUP!H149</f>
        <v>3726</v>
      </c>
      <c r="I264" s="130" t="n">
        <f aca="false">BACKUP!I149</f>
        <v>932</v>
      </c>
      <c r="J264" s="130" t="n">
        <f aca="false">BACKUP!J149</f>
        <v>5769</v>
      </c>
      <c r="K264" s="130" t="n">
        <f aca="false">BACKUP!K149</f>
        <v>10518</v>
      </c>
      <c r="L264" s="130" t="n">
        <f aca="false">BACKUP!L149</f>
        <v>11400</v>
      </c>
      <c r="M264" s="130" t="n">
        <f aca="false">BACKUP!M149</f>
        <v>12961</v>
      </c>
      <c r="N264" s="130" t="n">
        <f aca="false">BACKUP!N149</f>
        <v>12959</v>
      </c>
      <c r="O264" s="130" t="n">
        <f aca="false">BACKUP!O149</f>
        <v>6568</v>
      </c>
      <c r="P264" s="130" t="n">
        <f aca="false">SUM(D264:O264)</f>
        <v>74301</v>
      </c>
      <c r="Q264" s="131" t="n">
        <f aca="false">SUM(D264:J264)</f>
        <v>19895</v>
      </c>
      <c r="R264" s="130" t="n">
        <f aca="false">P264-Q264</f>
        <v>54406</v>
      </c>
      <c r="S264" s="103"/>
      <c r="T264" s="130"/>
      <c r="U264" s="130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</row>
    <row r="265" customFormat="false" ht="12.75" hidden="false" customHeight="false" outlineLevel="0" collapsed="false">
      <c r="A265" s="130" t="str">
        <f aca="false">BACKUP!A150</f>
        <v>              - Other</v>
      </c>
      <c r="B265" s="103"/>
      <c r="C265" s="118" t="s">
        <v>595</v>
      </c>
      <c r="D265" s="130" t="n">
        <f aca="false">BACKUP!D150</f>
        <v>0</v>
      </c>
      <c r="E265" s="130" t="n">
        <f aca="false">BACKUP!E150</f>
        <v>0</v>
      </c>
      <c r="F265" s="130" t="n">
        <f aca="false">BACKUP!F150</f>
        <v>0</v>
      </c>
      <c r="G265" s="130" t="n">
        <f aca="false">BACKUP!G150</f>
        <v>0</v>
      </c>
      <c r="H265" s="130" t="n">
        <f aca="false">BACKUP!H150</f>
        <v>0</v>
      </c>
      <c r="I265" s="130" t="n">
        <f aca="false">BACKUP!I150</f>
        <v>0</v>
      </c>
      <c r="J265" s="130" t="n">
        <f aca="false">BACKUP!J150</f>
        <v>0</v>
      </c>
      <c r="K265" s="130" t="n">
        <f aca="false">BACKUP!K150</f>
        <v>0</v>
      </c>
      <c r="L265" s="130" t="n">
        <f aca="false">BACKUP!L150</f>
        <v>0</v>
      </c>
      <c r="M265" s="130" t="n">
        <f aca="false">BACKUP!M150</f>
        <v>0</v>
      </c>
      <c r="N265" s="130" t="n">
        <f aca="false">BACKUP!N150</f>
        <v>0</v>
      </c>
      <c r="O265" s="130" t="n">
        <f aca="false">BACKUP!O150</f>
        <v>0</v>
      </c>
      <c r="P265" s="130" t="n">
        <f aca="false">SUM(D265:O265)</f>
        <v>0</v>
      </c>
      <c r="Q265" s="131" t="n">
        <f aca="false">SUM(D265:J265)</f>
        <v>0</v>
      </c>
      <c r="R265" s="130" t="n">
        <f aca="false">P265-Q265</f>
        <v>0</v>
      </c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</row>
    <row r="266" customFormat="false" ht="12.75" hidden="false" customHeight="false" outlineLevel="0" collapsed="false">
      <c r="A266" s="130" t="str">
        <f aca="false">BACKUP!A151</f>
        <v>              - Year End Accrual Activity</v>
      </c>
      <c r="B266" s="103"/>
      <c r="C266" s="118" t="s">
        <v>594</v>
      </c>
      <c r="D266" s="130" t="n">
        <f aca="false">BACKUP!D151</f>
        <v>-2002</v>
      </c>
      <c r="E266" s="130" t="n">
        <f aca="false">BACKUP!E151</f>
        <v>0</v>
      </c>
      <c r="F266" s="130" t="n">
        <f aca="false">BACKUP!F151</f>
        <v>0</v>
      </c>
      <c r="G266" s="130" t="n">
        <f aca="false">BACKUP!G151</f>
        <v>0</v>
      </c>
      <c r="H266" s="130" t="n">
        <f aca="false">BACKUP!H151</f>
        <v>0</v>
      </c>
      <c r="I266" s="130" t="n">
        <f aca="false">BACKUP!I151</f>
        <v>0</v>
      </c>
      <c r="J266" s="130" t="n">
        <f aca="false">BACKUP!J151</f>
        <v>0</v>
      </c>
      <c r="K266" s="130" t="n">
        <f aca="false">BACKUP!K151</f>
        <v>0</v>
      </c>
      <c r="L266" s="130" t="n">
        <f aca="false">BACKUP!L151</f>
        <v>0</v>
      </c>
      <c r="M266" s="130" t="n">
        <f aca="false">BACKUP!M151</f>
        <v>0</v>
      </c>
      <c r="N266" s="130" t="n">
        <f aca="false">BACKUP!N151</f>
        <v>0</v>
      </c>
      <c r="O266" s="130" t="n">
        <f aca="false">BACKUP!O151</f>
        <v>2002</v>
      </c>
      <c r="P266" s="130" t="n">
        <f aca="false">SUM(D266:O266)</f>
        <v>0</v>
      </c>
      <c r="Q266" s="131" t="n">
        <f aca="false">SUM(D266:J266)</f>
        <v>-2002</v>
      </c>
      <c r="R266" s="130" t="n">
        <f aca="false">P266-Q266</f>
        <v>2002</v>
      </c>
      <c r="S266" s="103"/>
      <c r="T266" s="103"/>
      <c r="U266" s="130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</row>
    <row r="267" customFormat="false" ht="12.75" hidden="false" customHeight="false" outlineLevel="0" collapsed="false">
      <c r="A267" s="130" t="str">
        <f aca="false">BACKUP!A152</f>
        <v>              - Additional O&amp;M Capitalization</v>
      </c>
      <c r="B267" s="103"/>
      <c r="C267" s="118" t="s">
        <v>594</v>
      </c>
      <c r="D267" s="130" t="n">
        <f aca="false">BACKUP!D152</f>
        <v>0</v>
      </c>
      <c r="E267" s="130" t="n">
        <f aca="false">BACKUP!E152</f>
        <v>0</v>
      </c>
      <c r="F267" s="130" t="n">
        <f aca="false">BACKUP!F152</f>
        <v>0</v>
      </c>
      <c r="G267" s="130" t="n">
        <f aca="false">BACKUP!G152</f>
        <v>0</v>
      </c>
      <c r="H267" s="130" t="n">
        <f aca="false">BACKUP!H152</f>
        <v>0</v>
      </c>
      <c r="I267" s="130" t="n">
        <f aca="false">BACKUP!I152</f>
        <v>0</v>
      </c>
      <c r="J267" s="130" t="n">
        <f aca="false">BACKUP!J152</f>
        <v>0</v>
      </c>
      <c r="K267" s="130" t="n">
        <f aca="false">BACKUP!K152</f>
        <v>0</v>
      </c>
      <c r="L267" s="130" t="n">
        <f aca="false">BACKUP!L152</f>
        <v>0</v>
      </c>
      <c r="M267" s="130" t="n">
        <f aca="false">BACKUP!M152</f>
        <v>0</v>
      </c>
      <c r="N267" s="130" t="n">
        <f aca="false">BACKUP!N152</f>
        <v>0</v>
      </c>
      <c r="O267" s="130" t="n">
        <f aca="false">BACKUP!O152</f>
        <v>0</v>
      </c>
      <c r="P267" s="130" t="n">
        <f aca="false">SUM(D267:O267)</f>
        <v>0</v>
      </c>
      <c r="Q267" s="131" t="n">
        <f aca="false">SUM(D267:J267)</f>
        <v>0</v>
      </c>
      <c r="R267" s="130" t="n">
        <f aca="false">P267-Q267</f>
        <v>0</v>
      </c>
      <c r="S267" s="103"/>
      <c r="T267" s="103"/>
      <c r="U267" s="130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</row>
    <row r="268" customFormat="false" ht="12.75" hidden="false" customHeight="false" outlineLevel="0" collapsed="false">
      <c r="A268" s="130" t="str">
        <f aca="false">BACKUP!A153</f>
        <v>   AFUDC</v>
      </c>
      <c r="B268" s="103"/>
      <c r="C268" s="118" t="s">
        <v>592</v>
      </c>
      <c r="D268" s="130" t="n">
        <f aca="false">BACKUP!D153</f>
        <v>0</v>
      </c>
      <c r="E268" s="130" t="n">
        <f aca="false">BACKUP!E153</f>
        <v>0</v>
      </c>
      <c r="F268" s="130" t="n">
        <f aca="false">BACKUP!F153</f>
        <v>0</v>
      </c>
      <c r="G268" s="130" t="n">
        <f aca="false">BACKUP!G153</f>
        <v>0</v>
      </c>
      <c r="H268" s="130" t="n">
        <f aca="false">BACKUP!H153</f>
        <v>0</v>
      </c>
      <c r="I268" s="130" t="n">
        <f aca="false">BACKUP!I153</f>
        <v>0</v>
      </c>
      <c r="J268" s="130" t="n">
        <f aca="false">BACKUP!J153</f>
        <v>0</v>
      </c>
      <c r="K268" s="130" t="n">
        <f aca="false">BACKUP!K153</f>
        <v>0</v>
      </c>
      <c r="L268" s="130" t="n">
        <f aca="false">BACKUP!L153</f>
        <v>0</v>
      </c>
      <c r="M268" s="130" t="n">
        <f aca="false">BACKUP!M153</f>
        <v>0</v>
      </c>
      <c r="N268" s="130" t="n">
        <f aca="false">BACKUP!N153</f>
        <v>0</v>
      </c>
      <c r="O268" s="130" t="n">
        <f aca="false">BACKUP!O153</f>
        <v>0</v>
      </c>
      <c r="P268" s="130" t="n">
        <f aca="false">SUM(D268:O268)</f>
        <v>0</v>
      </c>
      <c r="Q268" s="131" t="n">
        <f aca="false">SUM(D268:J268)</f>
        <v>0</v>
      </c>
      <c r="R268" s="130" t="n">
        <f aca="false">P268-Q268</f>
        <v>0</v>
      </c>
      <c r="S268" s="103"/>
      <c r="T268" s="131"/>
      <c r="U268" s="131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  <c r="AT268" s="103"/>
      <c r="AU268" s="103"/>
    </row>
    <row r="269" customFormat="false" ht="12.75" hidden="false" customHeight="false" outlineLevel="0" collapsed="false">
      <c r="A269" s="130" t="str">
        <f aca="false">BACKUP!A154</f>
        <v>   Asset Sales - Net Plant </v>
      </c>
      <c r="B269" s="103"/>
      <c r="C269" s="118" t="s">
        <v>596</v>
      </c>
      <c r="D269" s="130" t="n">
        <f aca="false">BACKUP!D154</f>
        <v>0</v>
      </c>
      <c r="E269" s="130" t="n">
        <f aca="false">BACKUP!E154</f>
        <v>0</v>
      </c>
      <c r="F269" s="130" t="n">
        <f aca="false">BACKUP!F154</f>
        <v>0</v>
      </c>
      <c r="G269" s="130" t="n">
        <f aca="false">BACKUP!G154</f>
        <v>0</v>
      </c>
      <c r="H269" s="130" t="n">
        <f aca="false">BACKUP!H154</f>
        <v>0</v>
      </c>
      <c r="I269" s="130" t="n">
        <f aca="false">BACKUP!I154</f>
        <v>0</v>
      </c>
      <c r="J269" s="130" t="n">
        <f aca="false">BACKUP!J154</f>
        <v>0</v>
      </c>
      <c r="K269" s="130" t="n">
        <f aca="false">BACKUP!K154</f>
        <v>0</v>
      </c>
      <c r="L269" s="130" t="n">
        <f aca="false">BACKUP!L154</f>
        <v>0</v>
      </c>
      <c r="M269" s="130" t="n">
        <f aca="false">BACKUP!M154</f>
        <v>0</v>
      </c>
      <c r="N269" s="130" t="n">
        <f aca="false">BACKUP!N154</f>
        <v>0</v>
      </c>
      <c r="O269" s="130" t="n">
        <f aca="false">BACKUP!O154</f>
        <v>0</v>
      </c>
      <c r="P269" s="130" t="n">
        <f aca="false">SUM(D269:O269)</f>
        <v>0</v>
      </c>
      <c r="Q269" s="131" t="n">
        <f aca="false">SUM(D269:J269)</f>
        <v>0</v>
      </c>
      <c r="R269" s="130" t="n">
        <f aca="false">P269-Q269</f>
        <v>0</v>
      </c>
      <c r="S269" s="103"/>
      <c r="T269" s="103"/>
      <c r="U269" s="130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  <c r="AT269" s="103"/>
      <c r="AU269" s="103"/>
    </row>
    <row r="270" customFormat="false" ht="12.75" hidden="false" customHeight="false" outlineLevel="0" collapsed="false">
      <c r="A270" s="130" t="str">
        <f aca="false">BACKUP!A155</f>
        <v>                      - Net Plant </v>
      </c>
      <c r="B270" s="103"/>
      <c r="C270" s="118" t="s">
        <v>596</v>
      </c>
      <c r="D270" s="130" t="n">
        <f aca="false">BACKUP!D155</f>
        <v>0</v>
      </c>
      <c r="E270" s="130" t="n">
        <f aca="false">BACKUP!E155</f>
        <v>0</v>
      </c>
      <c r="F270" s="130" t="n">
        <f aca="false">BACKUP!F155</f>
        <v>0</v>
      </c>
      <c r="G270" s="130" t="n">
        <f aca="false">BACKUP!G155</f>
        <v>0</v>
      </c>
      <c r="H270" s="130" t="n">
        <f aca="false">BACKUP!H155</f>
        <v>0</v>
      </c>
      <c r="I270" s="130" t="n">
        <f aca="false">BACKUP!I155</f>
        <v>0</v>
      </c>
      <c r="J270" s="130" t="n">
        <f aca="false">BACKUP!J155</f>
        <v>0</v>
      </c>
      <c r="K270" s="130" t="n">
        <f aca="false">BACKUP!K155</f>
        <v>0</v>
      </c>
      <c r="L270" s="130" t="n">
        <f aca="false">BACKUP!L155</f>
        <v>0</v>
      </c>
      <c r="M270" s="130" t="n">
        <f aca="false">BACKUP!M155</f>
        <v>0</v>
      </c>
      <c r="N270" s="130" t="n">
        <f aca="false">BACKUP!N155</f>
        <v>0</v>
      </c>
      <c r="O270" s="130" t="n">
        <f aca="false">BACKUP!O155</f>
        <v>0</v>
      </c>
      <c r="P270" s="130" t="n">
        <f aca="false">SUM(D270:O270)</f>
        <v>0</v>
      </c>
      <c r="Q270" s="131" t="n">
        <f aca="false">SUM(D270:J270)</f>
        <v>0</v>
      </c>
      <c r="R270" s="130" t="n">
        <f aca="false">P270-Q270</f>
        <v>0</v>
      </c>
      <c r="S270" s="103"/>
      <c r="T270" s="103"/>
      <c r="U270" s="130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  <c r="AT270" s="103"/>
      <c r="AU270" s="103"/>
    </row>
    <row r="271" customFormat="false" ht="12.75" hidden="false" customHeight="false" outlineLevel="0" collapsed="false">
      <c r="A271" s="130" t="str">
        <f aca="false">BACKUP!A156</f>
        <v>   Plant / Reserve Adjustments</v>
      </c>
      <c r="B271" s="103"/>
      <c r="C271" s="118" t="s">
        <v>592</v>
      </c>
      <c r="D271" s="130" t="n">
        <f aca="false">BACKUP!D156</f>
        <v>0</v>
      </c>
      <c r="E271" s="130" t="n">
        <f aca="false">BACKUP!E156</f>
        <v>0</v>
      </c>
      <c r="F271" s="130" t="n">
        <f aca="false">BACKUP!F156</f>
        <v>0</v>
      </c>
      <c r="G271" s="130" t="n">
        <f aca="false">BACKUP!G156</f>
        <v>0</v>
      </c>
      <c r="H271" s="130" t="n">
        <f aca="false">BACKUP!H156</f>
        <v>0</v>
      </c>
      <c r="I271" s="130" t="n">
        <f aca="false">BACKUP!I156</f>
        <v>0</v>
      </c>
      <c r="J271" s="130" t="n">
        <f aca="false">BACKUP!J156</f>
        <v>0</v>
      </c>
      <c r="K271" s="130" t="n">
        <f aca="false">BACKUP!K156</f>
        <v>0</v>
      </c>
      <c r="L271" s="130" t="n">
        <f aca="false">BACKUP!L156</f>
        <v>0</v>
      </c>
      <c r="M271" s="130" t="n">
        <f aca="false">BACKUP!M156</f>
        <v>0</v>
      </c>
      <c r="N271" s="130" t="n">
        <f aca="false">BACKUP!N156</f>
        <v>0</v>
      </c>
      <c r="O271" s="130" t="n">
        <f aca="false">BACKUP!O156</f>
        <v>0</v>
      </c>
      <c r="P271" s="130" t="n">
        <f aca="false">SUM(D271:O271)</f>
        <v>0</v>
      </c>
      <c r="Q271" s="131" t="n">
        <f aca="false">SUM(D271:J271)</f>
        <v>0</v>
      </c>
      <c r="R271" s="130" t="n">
        <f aca="false">P271-Q271</f>
        <v>0</v>
      </c>
      <c r="S271" s="103"/>
      <c r="T271" s="103"/>
      <c r="U271" s="130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103"/>
      <c r="AU271" s="103"/>
    </row>
    <row r="272" customFormat="false" ht="12.75" hidden="false" customHeight="false" outlineLevel="0" collapsed="false">
      <c r="A272" s="130" t="str">
        <f aca="false">BACKUP!A157</f>
        <v>   Storage Imbalance (Acct. 117.4 - 12/31/00 - 9.371 Bcf) </v>
      </c>
      <c r="B272" s="103"/>
      <c r="C272" s="118" t="s">
        <v>595</v>
      </c>
      <c r="D272" s="130" t="n">
        <f aca="false">BACKUP!D157</f>
        <v>45815</v>
      </c>
      <c r="E272" s="130" t="n">
        <f aca="false">BACKUP!E157</f>
        <v>11146</v>
      </c>
      <c r="F272" s="130" t="n">
        <f aca="false">BACKUP!F157</f>
        <v>-1541</v>
      </c>
      <c r="G272" s="130" t="n">
        <f aca="false">BACKUP!G157</f>
        <v>-9352</v>
      </c>
      <c r="H272" s="130" t="n">
        <f aca="false">BACKUP!H157</f>
        <v>-4794</v>
      </c>
      <c r="I272" s="130" t="n">
        <f aca="false">BACKUP!I157</f>
        <v>-4071</v>
      </c>
      <c r="J272" s="130" t="n">
        <f aca="false">BACKUP!J157</f>
        <v>-3220</v>
      </c>
      <c r="K272" s="130" t="n">
        <f aca="false">BACKUP!K157</f>
        <v>-2022</v>
      </c>
      <c r="L272" s="130" t="n">
        <f aca="false">BACKUP!L157</f>
        <v>0</v>
      </c>
      <c r="M272" s="130" t="n">
        <f aca="false">BACKUP!M157</f>
        <v>-4000</v>
      </c>
      <c r="N272" s="130" t="n">
        <f aca="false">BACKUP!N157</f>
        <v>-4000</v>
      </c>
      <c r="O272" s="130" t="n">
        <f aca="false">BACKUP!O157</f>
        <v>-4000</v>
      </c>
      <c r="P272" s="130" t="n">
        <f aca="false">SUM(D272:O272)</f>
        <v>19961</v>
      </c>
      <c r="Q272" s="131" t="n">
        <f aca="false">SUM(D272:J272)</f>
        <v>33983</v>
      </c>
      <c r="R272" s="130" t="n">
        <f aca="false">P272-Q272</f>
        <v>-14022</v>
      </c>
      <c r="S272" s="103"/>
      <c r="T272" s="131" t="n">
        <v>0</v>
      </c>
      <c r="U272" s="131" t="n">
        <v>0</v>
      </c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</row>
    <row r="273" customFormat="false" ht="12.75" hidden="false" customHeight="false" outlineLevel="0" collapsed="false">
      <c r="A273" s="130" t="str">
        <f aca="false">BACKUP!A158</f>
        <v>   Retirements at Cost </v>
      </c>
      <c r="B273" s="103"/>
      <c r="C273" s="118" t="s">
        <v>592</v>
      </c>
      <c r="D273" s="130" t="n">
        <f aca="false">BACKUP!D158</f>
        <v>-259</v>
      </c>
      <c r="E273" s="130" t="n">
        <f aca="false">BACKUP!E158</f>
        <v>0</v>
      </c>
      <c r="F273" s="130" t="n">
        <f aca="false">BACKUP!F158</f>
        <v>0</v>
      </c>
      <c r="G273" s="130" t="n">
        <f aca="false">BACKUP!G158</f>
        <v>0</v>
      </c>
      <c r="H273" s="130" t="n">
        <f aca="false">BACKUP!H158</f>
        <v>0</v>
      </c>
      <c r="I273" s="130" t="n">
        <f aca="false">BACKUP!I158</f>
        <v>-2800</v>
      </c>
      <c r="J273" s="130" t="n">
        <f aca="false">BACKUP!J158</f>
        <v>-17702</v>
      </c>
      <c r="K273" s="130" t="n">
        <f aca="false">BACKUP!K158</f>
        <v>0</v>
      </c>
      <c r="L273" s="130" t="n">
        <f aca="false">BACKUP!L158</f>
        <v>0</v>
      </c>
      <c r="M273" s="130" t="n">
        <f aca="false">BACKUP!M158</f>
        <v>0</v>
      </c>
      <c r="N273" s="130" t="n">
        <f aca="false">BACKUP!N158</f>
        <v>0</v>
      </c>
      <c r="O273" s="130" t="n">
        <f aca="false">BACKUP!O158</f>
        <v>0</v>
      </c>
      <c r="P273" s="130" t="n">
        <f aca="false">SUM(D273:O273)</f>
        <v>-20761</v>
      </c>
      <c r="Q273" s="131" t="n">
        <f aca="false">SUM(D273:J273)</f>
        <v>-20761</v>
      </c>
      <c r="R273" s="130" t="n">
        <f aca="false">P273-Q273</f>
        <v>0</v>
      </c>
      <c r="S273" s="103"/>
      <c r="T273" s="103"/>
      <c r="U273" s="130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  <c r="AT273" s="103"/>
      <c r="AU273" s="103"/>
    </row>
    <row r="274" customFormat="false" ht="12.75" hidden="false" customHeight="false" outlineLevel="0" collapsed="false">
      <c r="A274" s="130" t="str">
        <f aca="false">BACKUP!A159</f>
        <v>   Actual / Estimate Adjustment</v>
      </c>
      <c r="B274" s="103"/>
      <c r="C274" s="118" t="s">
        <v>597</v>
      </c>
      <c r="D274" s="143" t="n">
        <f aca="false">BACKUP!D159</f>
        <v>0</v>
      </c>
      <c r="E274" s="143" t="n">
        <f aca="false">BACKUP!E159</f>
        <v>0</v>
      </c>
      <c r="F274" s="143" t="n">
        <f aca="false">BACKUP!F159</f>
        <v>0</v>
      </c>
      <c r="G274" s="143" t="n">
        <f aca="false">BACKUP!G159</f>
        <v>0</v>
      </c>
      <c r="H274" s="143" t="n">
        <f aca="false">BACKUP!H159</f>
        <v>0</v>
      </c>
      <c r="I274" s="143" t="n">
        <f aca="false">BACKUP!I159</f>
        <v>0</v>
      </c>
      <c r="J274" s="143" t="n">
        <f aca="false">BACKUP!J159</f>
        <v>0</v>
      </c>
      <c r="K274" s="143" t="n">
        <f aca="false">BACKUP!K159</f>
        <v>0</v>
      </c>
      <c r="L274" s="143" t="n">
        <f aca="false">BACKUP!L159</f>
        <v>0</v>
      </c>
      <c r="M274" s="143" t="n">
        <f aca="false">BACKUP!M159</f>
        <v>0</v>
      </c>
      <c r="N274" s="143" t="n">
        <f aca="false">BACKUP!N159</f>
        <v>0</v>
      </c>
      <c r="O274" s="143" t="n">
        <f aca="false">BACKUP!O159</f>
        <v>0</v>
      </c>
      <c r="P274" s="130" t="n">
        <f aca="false">SUM(D267:O267)</f>
        <v>0</v>
      </c>
      <c r="Q274" s="131" t="n">
        <f aca="false">SUM(D274:J274)</f>
        <v>0</v>
      </c>
      <c r="R274" s="130" t="n">
        <f aca="false">P274-Q274</f>
        <v>0</v>
      </c>
      <c r="S274" s="103"/>
      <c r="T274" s="130"/>
      <c r="U274" s="130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</row>
    <row r="275" customFormat="false" ht="3.95" hidden="false" customHeight="true" outlineLevel="0" collapsed="false">
      <c r="A275" s="103"/>
      <c r="B275" s="103"/>
      <c r="C275" s="118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03"/>
      <c r="T275" s="130"/>
      <c r="U275" s="130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</row>
    <row r="276" customFormat="false" ht="12.75" hidden="false" customHeight="false" outlineLevel="0" collapsed="false">
      <c r="A276" s="155" t="str">
        <f aca="false">BACKUP!A161</f>
        <v>Plant - End. Balance</v>
      </c>
      <c r="B276" s="103"/>
      <c r="C276" s="118"/>
      <c r="D276" s="143" t="n">
        <f aca="false">BACKUP!D161</f>
        <v>2789700</v>
      </c>
      <c r="E276" s="143" t="n">
        <f aca="false">BACKUP!E161</f>
        <v>2799985</v>
      </c>
      <c r="F276" s="143" t="n">
        <f aca="false">BACKUP!F161</f>
        <v>2802242</v>
      </c>
      <c r="G276" s="143" t="n">
        <f aca="false">BACKUP!G161</f>
        <v>2797139</v>
      </c>
      <c r="H276" s="143" t="n">
        <f aca="false">BACKUP!H161</f>
        <v>2796071</v>
      </c>
      <c r="I276" s="143" t="n">
        <f aca="false">BACKUP!I161</f>
        <v>2790132</v>
      </c>
      <c r="J276" s="143" t="n">
        <f aca="false">BACKUP!J161</f>
        <v>2774979</v>
      </c>
      <c r="K276" s="143" t="n">
        <f aca="false">BACKUP!K161</f>
        <v>2783475</v>
      </c>
      <c r="L276" s="143" t="n">
        <f aca="false">BACKUP!L161</f>
        <v>2794875</v>
      </c>
      <c r="M276" s="143" t="n">
        <f aca="false">BACKUP!M161</f>
        <v>2803836</v>
      </c>
      <c r="N276" s="143" t="n">
        <f aca="false">BACKUP!N161</f>
        <v>2812795</v>
      </c>
      <c r="O276" s="143" t="n">
        <f aca="false">BACKUP!O161</f>
        <v>2817365</v>
      </c>
      <c r="P276" s="130"/>
      <c r="Q276" s="130"/>
      <c r="R276" s="130"/>
      <c r="S276" s="103"/>
      <c r="T276" s="130"/>
      <c r="U276" s="130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</row>
    <row r="277" customFormat="false" ht="12.75" hidden="false" customHeight="false" outlineLevel="0" collapsed="false">
      <c r="A277" s="103"/>
      <c r="B277" s="103"/>
      <c r="C277" s="118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30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  <c r="AT277" s="103"/>
      <c r="AU277" s="103"/>
    </row>
    <row r="278" customFormat="false" ht="12.75" hidden="false" customHeight="false" outlineLevel="0" collapsed="false">
      <c r="A278" s="155" t="str">
        <f aca="false">BACKUP!A165</f>
        <v>Accumulated Depreciation - Beg. Balance</v>
      </c>
      <c r="B278" s="103"/>
      <c r="C278" s="118"/>
      <c r="D278" s="130" t="n">
        <f aca="false">BACKUP!D165</f>
        <v>1442835</v>
      </c>
      <c r="E278" s="130" t="n">
        <f aca="false">BACKUP!E165</f>
        <v>1446637</v>
      </c>
      <c r="F278" s="130" t="n">
        <f aca="false">BACKUP!F165</f>
        <v>1450495</v>
      </c>
      <c r="G278" s="130" t="n">
        <f aca="false">BACKUP!G165</f>
        <v>1454095</v>
      </c>
      <c r="H278" s="130" t="n">
        <f aca="false">BACKUP!H165</f>
        <v>1457697</v>
      </c>
      <c r="I278" s="130" t="n">
        <f aca="false">BACKUP!I165</f>
        <v>1463022</v>
      </c>
      <c r="J278" s="130" t="n">
        <f aca="false">BACKUP!J165</f>
        <v>1464768</v>
      </c>
      <c r="K278" s="130" t="n">
        <f aca="false">BACKUP!K165</f>
        <v>1450869</v>
      </c>
      <c r="L278" s="130" t="n">
        <f aca="false">BACKUP!L165</f>
        <v>1454669</v>
      </c>
      <c r="M278" s="130" t="n">
        <f aca="false">BACKUP!M165</f>
        <v>1458514</v>
      </c>
      <c r="N278" s="130" t="n">
        <f aca="false">BACKUP!N165</f>
        <v>1463659</v>
      </c>
      <c r="O278" s="130" t="n">
        <f aca="false">BACKUP!O165</f>
        <v>1467554</v>
      </c>
      <c r="P278" s="103"/>
      <c r="Q278" s="103"/>
      <c r="R278" s="103"/>
      <c r="S278" s="103"/>
      <c r="T278" s="130"/>
      <c r="U278" s="130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</row>
    <row r="279" customFormat="false" ht="12.75" hidden="false" customHeight="false" outlineLevel="0" collapsed="false">
      <c r="A279" s="130" t="str">
        <f aca="false">BACKUP!A166</f>
        <v>   Depreciation Expense</v>
      </c>
      <c r="B279" s="103"/>
      <c r="C279" s="118" t="s">
        <v>598</v>
      </c>
      <c r="D279" s="130" t="n">
        <f aca="false">BACKUP!D166</f>
        <v>2731</v>
      </c>
      <c r="E279" s="130" t="n">
        <f aca="false">BACKUP!E166</f>
        <v>2675</v>
      </c>
      <c r="F279" s="130" t="n">
        <f aca="false">BACKUP!F166</f>
        <v>2871</v>
      </c>
      <c r="G279" s="130" t="n">
        <f aca="false">BACKUP!G166</f>
        <v>2719</v>
      </c>
      <c r="H279" s="130" t="n">
        <f aca="false">BACKUP!H166</f>
        <v>2665</v>
      </c>
      <c r="I279" s="130" t="n">
        <f aca="false">BACKUP!I166</f>
        <v>2909</v>
      </c>
      <c r="J279" s="130" t="n">
        <f aca="false">BACKUP!J166</f>
        <v>2761</v>
      </c>
      <c r="K279" s="130" t="n">
        <f aca="false">BACKUP!K166</f>
        <v>2765</v>
      </c>
      <c r="L279" s="130" t="n">
        <f aca="false">BACKUP!L166</f>
        <v>2775</v>
      </c>
      <c r="M279" s="130" t="n">
        <f aca="false">BACKUP!M166</f>
        <v>4076</v>
      </c>
      <c r="N279" s="130" t="n">
        <f aca="false">BACKUP!N166</f>
        <v>3317</v>
      </c>
      <c r="O279" s="130" t="n">
        <f aca="false">BACKUP!O166</f>
        <v>3368</v>
      </c>
      <c r="P279" s="130" t="n">
        <f aca="false">SUM(D279:O279)</f>
        <v>35632</v>
      </c>
      <c r="Q279" s="131" t="n">
        <f aca="false">SUM(D279:J279)</f>
        <v>19331</v>
      </c>
      <c r="R279" s="130" t="n">
        <f aca="false">P279-Q279</f>
        <v>16301</v>
      </c>
      <c r="S279" s="103"/>
      <c r="T279" s="130"/>
      <c r="U279" s="130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</row>
    <row r="280" customFormat="false" ht="12.75" hidden="false" customHeight="false" outlineLevel="0" collapsed="false">
      <c r="A280" s="130" t="str">
        <f aca="false">BACKUP!A167</f>
        <v>   Plant Amortization</v>
      </c>
      <c r="B280" s="103"/>
      <c r="C280" s="118" t="s">
        <v>598</v>
      </c>
      <c r="D280" s="130" t="n">
        <f aca="false">BACKUP!D167</f>
        <v>1082</v>
      </c>
      <c r="E280" s="130" t="n">
        <f aca="false">BACKUP!E167</f>
        <v>1150</v>
      </c>
      <c r="F280" s="130" t="n">
        <f aca="false">BACKUP!F167</f>
        <v>1001</v>
      </c>
      <c r="G280" s="130" t="n">
        <f aca="false">BACKUP!G167</f>
        <v>1063</v>
      </c>
      <c r="H280" s="130" t="n">
        <f aca="false">BACKUP!H167</f>
        <v>1062</v>
      </c>
      <c r="I280" s="130" t="n">
        <f aca="false">BACKUP!I167</f>
        <v>1062</v>
      </c>
      <c r="J280" s="130" t="n">
        <f aca="false">BACKUP!J167</f>
        <v>1062</v>
      </c>
      <c r="K280" s="130" t="n">
        <f aca="false">BACKUP!K167</f>
        <v>1062</v>
      </c>
      <c r="L280" s="130" t="n">
        <f aca="false">BACKUP!L167</f>
        <v>1097</v>
      </c>
      <c r="M280" s="130" t="n">
        <f aca="false">BACKUP!M167</f>
        <v>1096</v>
      </c>
      <c r="N280" s="130" t="n">
        <f aca="false">BACKUP!N167</f>
        <v>605</v>
      </c>
      <c r="O280" s="130" t="n">
        <f aca="false">BACKUP!O167</f>
        <v>604</v>
      </c>
      <c r="P280" s="130" t="n">
        <f aca="false">SUM(D280:O280)</f>
        <v>11946</v>
      </c>
      <c r="Q280" s="131" t="n">
        <f aca="false">SUM(D280:J280)</f>
        <v>7482</v>
      </c>
      <c r="R280" s="130" t="n">
        <f aca="false">P280-Q280</f>
        <v>4464</v>
      </c>
      <c r="S280" s="103"/>
      <c r="T280" s="103"/>
      <c r="U280" s="130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</row>
    <row r="281" customFormat="false" ht="12.75" hidden="false" customHeight="false" outlineLevel="0" collapsed="false">
      <c r="A281" s="130" t="str">
        <f aca="false">BACKUP!A168</f>
        <v>   Removals (Summary of Property Changes)</v>
      </c>
      <c r="B281" s="103"/>
      <c r="C281" s="118" t="s">
        <v>599</v>
      </c>
      <c r="D281" s="130" t="n">
        <f aca="false">BACKUP!D168</f>
        <v>4</v>
      </c>
      <c r="E281" s="130" t="n">
        <f aca="false">BACKUP!E168</f>
        <v>11</v>
      </c>
      <c r="F281" s="130" t="n">
        <f aca="false">BACKUP!F168</f>
        <v>-247</v>
      </c>
      <c r="G281" s="130" t="n">
        <f aca="false">BACKUP!G168</f>
        <v>-108</v>
      </c>
      <c r="H281" s="130" t="n">
        <f aca="false">BACKUP!H168</f>
        <v>1625</v>
      </c>
      <c r="I281" s="130" t="n">
        <f aca="false">BACKUP!I168</f>
        <v>-2198</v>
      </c>
      <c r="J281" s="130" t="n">
        <f aca="false">BACKUP!J168</f>
        <v>8</v>
      </c>
      <c r="K281" s="130" t="n">
        <f aca="false">BACKUP!K168</f>
        <v>0</v>
      </c>
      <c r="L281" s="130" t="n">
        <f aca="false">BACKUP!L168</f>
        <v>0</v>
      </c>
      <c r="M281" s="130" t="n">
        <f aca="false">BACKUP!M168</f>
        <v>0</v>
      </c>
      <c r="N281" s="130" t="n">
        <f aca="false">BACKUP!N168</f>
        <v>0</v>
      </c>
      <c r="O281" s="130" t="n">
        <f aca="false">BACKUP!O168</f>
        <v>0</v>
      </c>
      <c r="P281" s="130" t="n">
        <f aca="false">SUM(D281:O281)</f>
        <v>-905</v>
      </c>
      <c r="Q281" s="131" t="n">
        <f aca="false">SUM(D281:J281)</f>
        <v>-905</v>
      </c>
      <c r="R281" s="130" t="n">
        <f aca="false">P281-Q281</f>
        <v>0</v>
      </c>
      <c r="S281" s="103"/>
      <c r="T281" s="103"/>
      <c r="U281" s="130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</row>
    <row r="282" customFormat="false" ht="12.75" hidden="false" customHeight="false" outlineLevel="0" collapsed="false">
      <c r="A282" s="130" t="str">
        <f aca="false">BACKUP!A169</f>
        <v>   Salvage (Summary of Property Changes)</v>
      </c>
      <c r="B282" s="103"/>
      <c r="C282" s="118" t="s">
        <v>599</v>
      </c>
      <c r="D282" s="130" t="n">
        <f aca="false">BACKUP!D169</f>
        <v>0</v>
      </c>
      <c r="E282" s="130" t="n">
        <f aca="false">BACKUP!E169</f>
        <v>0</v>
      </c>
      <c r="F282" s="130" t="n">
        <f aca="false">BACKUP!F169</f>
        <v>0</v>
      </c>
      <c r="G282" s="130" t="n">
        <f aca="false">BACKUP!G169</f>
        <v>0</v>
      </c>
      <c r="H282" s="130" t="n">
        <f aca="false">BACKUP!H169</f>
        <v>0</v>
      </c>
      <c r="I282" s="130" t="n">
        <f aca="false">BACKUP!I169</f>
        <v>0</v>
      </c>
      <c r="J282" s="130" t="n">
        <f aca="false">BACKUP!J169</f>
        <v>0</v>
      </c>
      <c r="K282" s="130" t="n">
        <f aca="false">BACKUP!K169</f>
        <v>0</v>
      </c>
      <c r="L282" s="130" t="n">
        <f aca="false">BACKUP!L169</f>
        <v>0</v>
      </c>
      <c r="M282" s="130" t="n">
        <f aca="false">BACKUP!M169</f>
        <v>0</v>
      </c>
      <c r="N282" s="130" t="n">
        <f aca="false">BACKUP!N169</f>
        <v>0</v>
      </c>
      <c r="O282" s="130" t="n">
        <f aca="false">BACKUP!O169</f>
        <v>0</v>
      </c>
      <c r="P282" s="130" t="n">
        <f aca="false">SUM(D282:O282)</f>
        <v>0</v>
      </c>
      <c r="Q282" s="131" t="n">
        <f aca="false">SUM(D282:J282)</f>
        <v>0</v>
      </c>
      <c r="R282" s="130" t="n">
        <f aca="false">P282-Q282</f>
        <v>0</v>
      </c>
      <c r="S282" s="103"/>
      <c r="T282" s="130"/>
      <c r="U282" s="130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  <c r="AR282" s="103"/>
      <c r="AS282" s="103"/>
      <c r="AT282" s="103"/>
      <c r="AU282" s="103"/>
    </row>
    <row r="283" customFormat="false" ht="12.75" hidden="false" customHeight="false" outlineLevel="0" collapsed="false">
      <c r="A283" s="130" t="str">
        <f aca="false">BACKUP!A170</f>
        <v>   Plant Acquisitions Adjustments</v>
      </c>
      <c r="B283" s="103"/>
      <c r="C283" s="118" t="s">
        <v>594</v>
      </c>
      <c r="D283" s="130" t="n">
        <f aca="false">BACKUP!D170</f>
        <v>0</v>
      </c>
      <c r="E283" s="130" t="n">
        <f aca="false">BACKUP!E170</f>
        <v>0</v>
      </c>
      <c r="F283" s="130" t="n">
        <f aca="false">BACKUP!F170</f>
        <v>0</v>
      </c>
      <c r="G283" s="130" t="n">
        <f aca="false">BACKUP!G170</f>
        <v>0</v>
      </c>
      <c r="H283" s="130" t="n">
        <f aca="false">BACKUP!H170</f>
        <v>0</v>
      </c>
      <c r="I283" s="130" t="n">
        <f aca="false">BACKUP!I170</f>
        <v>0</v>
      </c>
      <c r="J283" s="130" t="n">
        <f aca="false">BACKUP!J170</f>
        <v>0</v>
      </c>
      <c r="K283" s="130" t="n">
        <f aca="false">BACKUP!K170</f>
        <v>0</v>
      </c>
      <c r="L283" s="130" t="n">
        <f aca="false">BACKUP!L170</f>
        <v>0</v>
      </c>
      <c r="M283" s="130" t="n">
        <f aca="false">BACKUP!M170</f>
        <v>0</v>
      </c>
      <c r="N283" s="130" t="n">
        <f aca="false">BACKUP!N170</f>
        <v>0</v>
      </c>
      <c r="O283" s="130" t="n">
        <f aca="false">BACKUP!O170</f>
        <v>0</v>
      </c>
      <c r="P283" s="130" t="n">
        <f aca="false">SUM(D283:O283)</f>
        <v>0</v>
      </c>
      <c r="Q283" s="131" t="n">
        <f aca="false">SUM(D283:J283)</f>
        <v>0</v>
      </c>
      <c r="R283" s="130" t="n">
        <f aca="false">P283-Q283</f>
        <v>0</v>
      </c>
      <c r="S283" s="103"/>
      <c r="T283" s="130"/>
      <c r="U283" s="130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</row>
    <row r="284" customFormat="false" ht="12.75" hidden="false" customHeight="false" outlineLevel="0" collapsed="false">
      <c r="A284" s="130" t="str">
        <f aca="false">BACKUP!A171</f>
        <v>   Pipe Recoating / Plant / Reserve Adjustments</v>
      </c>
      <c r="B284" s="103"/>
      <c r="C284" s="118" t="s">
        <v>592</v>
      </c>
      <c r="D284" s="130" t="n">
        <f aca="false">BACKUP!D171</f>
        <v>-23</v>
      </c>
      <c r="E284" s="130" t="n">
        <f aca="false">BACKUP!E171</f>
        <v>22</v>
      </c>
      <c r="F284" s="130" t="n">
        <f aca="false">BACKUP!F171</f>
        <v>-25</v>
      </c>
      <c r="G284" s="130" t="n">
        <f aca="false">BACKUP!G171</f>
        <v>-72</v>
      </c>
      <c r="H284" s="130" t="n">
        <f aca="false">BACKUP!H171</f>
        <v>-27</v>
      </c>
      <c r="I284" s="130" t="n">
        <f aca="false">BACKUP!I171</f>
        <v>-27</v>
      </c>
      <c r="J284" s="130" t="n">
        <f aca="false">BACKUP!J171</f>
        <v>-27</v>
      </c>
      <c r="K284" s="130" t="n">
        <f aca="false">BACKUP!K171</f>
        <v>-27</v>
      </c>
      <c r="L284" s="130" t="n">
        <f aca="false">BACKUP!L171</f>
        <v>-27</v>
      </c>
      <c r="M284" s="130" t="n">
        <f aca="false">BACKUP!M171</f>
        <v>-27</v>
      </c>
      <c r="N284" s="130" t="n">
        <f aca="false">BACKUP!N171</f>
        <v>-27</v>
      </c>
      <c r="O284" s="130" t="n">
        <f aca="false">BACKUP!O171</f>
        <v>-27</v>
      </c>
      <c r="P284" s="130" t="n">
        <f aca="false">SUM(D284:O284)</f>
        <v>-314</v>
      </c>
      <c r="Q284" s="131" t="n">
        <f aca="false">SUM(D284:J284)</f>
        <v>-179</v>
      </c>
      <c r="R284" s="130" t="n">
        <f aca="false">P284-Q284</f>
        <v>-135</v>
      </c>
      <c r="S284" s="103"/>
      <c r="T284" s="131" t="n">
        <v>0</v>
      </c>
      <c r="U284" s="131" t="n">
        <v>0</v>
      </c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  <c r="AR284" s="103"/>
      <c r="AS284" s="103"/>
      <c r="AT284" s="103"/>
      <c r="AU284" s="103"/>
    </row>
    <row r="285" customFormat="false" ht="12.75" hidden="false" customHeight="false" outlineLevel="0" collapsed="false">
      <c r="A285" s="130" t="str">
        <f aca="false">BACKUP!A172</f>
        <v>   Asset Sales </v>
      </c>
      <c r="B285" s="103"/>
      <c r="C285" s="118" t="s">
        <v>596</v>
      </c>
      <c r="D285" s="130" t="n">
        <f aca="false">BACKUP!D172</f>
        <v>0</v>
      </c>
      <c r="E285" s="130" t="n">
        <f aca="false">BACKUP!E172</f>
        <v>0</v>
      </c>
      <c r="F285" s="130" t="n">
        <f aca="false">BACKUP!F172</f>
        <v>0</v>
      </c>
      <c r="G285" s="130" t="n">
        <f aca="false">BACKUP!G172</f>
        <v>0</v>
      </c>
      <c r="H285" s="130" t="n">
        <f aca="false">BACKUP!H172</f>
        <v>0</v>
      </c>
      <c r="I285" s="130" t="n">
        <f aca="false">BACKUP!I172</f>
        <v>0</v>
      </c>
      <c r="J285" s="130" t="n">
        <f aca="false">BACKUP!J172</f>
        <v>0</v>
      </c>
      <c r="K285" s="130" t="n">
        <f aca="false">BACKUP!K172</f>
        <v>0</v>
      </c>
      <c r="L285" s="130" t="n">
        <f aca="false">BACKUP!L172</f>
        <v>0</v>
      </c>
      <c r="M285" s="130" t="n">
        <f aca="false">BACKUP!M172</f>
        <v>0</v>
      </c>
      <c r="N285" s="130" t="n">
        <f aca="false">BACKUP!N172</f>
        <v>0</v>
      </c>
      <c r="O285" s="130" t="n">
        <f aca="false">BACKUP!O172</f>
        <v>0</v>
      </c>
      <c r="P285" s="130" t="n">
        <f aca="false">SUM(D285:O285)</f>
        <v>0</v>
      </c>
      <c r="Q285" s="131" t="n">
        <f aca="false">SUM(D285:J285)</f>
        <v>0</v>
      </c>
      <c r="R285" s="130" t="n">
        <f aca="false">P285-Q285</f>
        <v>0</v>
      </c>
      <c r="S285" s="103"/>
      <c r="T285" s="131" t="n">
        <v>0</v>
      </c>
      <c r="U285" s="131" t="n">
        <v>0</v>
      </c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  <c r="AT285" s="103"/>
      <c r="AU285" s="103"/>
    </row>
    <row r="286" customFormat="false" ht="12.75" hidden="false" customHeight="false" outlineLevel="0" collapsed="false">
      <c r="A286" s="130" t="str">
        <f aca="false">BACKUP!A173</f>
        <v>   Retirement of Reserves (Was 12/01 Now 2002 - Mops $-1.8)</v>
      </c>
      <c r="B286" s="103"/>
      <c r="C286" s="118" t="s">
        <v>592</v>
      </c>
      <c r="D286" s="130" t="n">
        <f aca="false">BACKUP!D173</f>
        <v>8</v>
      </c>
      <c r="E286" s="130" t="n">
        <f aca="false">BACKUP!E173</f>
        <v>0</v>
      </c>
      <c r="F286" s="130" t="n">
        <f aca="false">BACKUP!F173</f>
        <v>0</v>
      </c>
      <c r="G286" s="130" t="n">
        <f aca="false">BACKUP!G173</f>
        <v>0</v>
      </c>
      <c r="H286" s="130" t="n">
        <f aca="false">BACKUP!H173</f>
        <v>0</v>
      </c>
      <c r="I286" s="130" t="n">
        <f aca="false">BACKUP!I173</f>
        <v>0</v>
      </c>
      <c r="J286" s="130" t="n">
        <f aca="false">BACKUP!J173</f>
        <v>-17703</v>
      </c>
      <c r="K286" s="130" t="n">
        <f aca="false">BACKUP!K173</f>
        <v>0</v>
      </c>
      <c r="L286" s="130" t="n">
        <f aca="false">BACKUP!L173</f>
        <v>0</v>
      </c>
      <c r="M286" s="130" t="n">
        <f aca="false">BACKUP!M173</f>
        <v>0</v>
      </c>
      <c r="N286" s="130" t="n">
        <f aca="false">BACKUP!N173</f>
        <v>0</v>
      </c>
      <c r="O286" s="130" t="n">
        <f aca="false">BACKUP!O173</f>
        <v>0</v>
      </c>
      <c r="P286" s="130" t="n">
        <f aca="false">SUM(D286:O286)</f>
        <v>-17695</v>
      </c>
      <c r="Q286" s="131" t="n">
        <f aca="false">SUM(D286:J286)</f>
        <v>-17695</v>
      </c>
      <c r="R286" s="130" t="n">
        <f aca="false">P286-Q286</f>
        <v>0</v>
      </c>
      <c r="S286" s="103"/>
      <c r="T286" s="103"/>
      <c r="U286" s="130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</row>
    <row r="287" customFormat="false" ht="12.75" hidden="false" customHeight="false" outlineLevel="0" collapsed="false">
      <c r="A287" s="130" t="str">
        <f aca="false">BACKUP!A174</f>
        <v>   Actual / Estimate Adjustment</v>
      </c>
      <c r="B287" s="103"/>
      <c r="C287" s="118" t="s">
        <v>597</v>
      </c>
      <c r="D287" s="143" t="n">
        <f aca="false">BACKUP!D174</f>
        <v>0</v>
      </c>
      <c r="E287" s="143" t="n">
        <f aca="false">BACKUP!E174</f>
        <v>0</v>
      </c>
      <c r="F287" s="143" t="n">
        <f aca="false">BACKUP!F174</f>
        <v>0</v>
      </c>
      <c r="G287" s="143" t="n">
        <f aca="false">BACKUP!G174</f>
        <v>0</v>
      </c>
      <c r="H287" s="143" t="n">
        <f aca="false">BACKUP!H174</f>
        <v>0</v>
      </c>
      <c r="I287" s="143" t="n">
        <f aca="false">BACKUP!I174</f>
        <v>0</v>
      </c>
      <c r="J287" s="143" t="n">
        <f aca="false">BACKUP!J174</f>
        <v>0</v>
      </c>
      <c r="K287" s="143" t="n">
        <f aca="false">BACKUP!K174</f>
        <v>0</v>
      </c>
      <c r="L287" s="143" t="n">
        <f aca="false">BACKUP!L174</f>
        <v>0</v>
      </c>
      <c r="M287" s="143" t="n">
        <f aca="false">BACKUP!M174</f>
        <v>0</v>
      </c>
      <c r="N287" s="143" t="n">
        <f aca="false">BACKUP!N174</f>
        <v>0</v>
      </c>
      <c r="O287" s="143" t="n">
        <f aca="false">BACKUP!O174</f>
        <v>0</v>
      </c>
      <c r="P287" s="130" t="n">
        <f aca="false">SUM(D287:O287)</f>
        <v>0</v>
      </c>
      <c r="Q287" s="131" t="n">
        <f aca="false">SUM(D287:J287)</f>
        <v>0</v>
      </c>
      <c r="R287" s="130" t="n">
        <f aca="false">P287-Q287</f>
        <v>0</v>
      </c>
      <c r="S287" s="103"/>
      <c r="T287" s="130"/>
      <c r="U287" s="130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</row>
    <row r="288" customFormat="false" ht="3.95" hidden="false" customHeight="true" outlineLevel="0" collapsed="false">
      <c r="A288" s="103"/>
      <c r="B288" s="103"/>
      <c r="C288" s="118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03"/>
      <c r="Q288" s="103"/>
      <c r="R288" s="103"/>
      <c r="S288" s="103"/>
      <c r="T288" s="130"/>
      <c r="U288" s="130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  <c r="AT288" s="103"/>
      <c r="AU288" s="103"/>
    </row>
    <row r="289" customFormat="false" ht="12.75" hidden="false" customHeight="false" outlineLevel="0" collapsed="false">
      <c r="A289" s="155" t="str">
        <f aca="false">BACKUP!A176</f>
        <v>Accumulated Depreciation - End. Balance</v>
      </c>
      <c r="B289" s="103"/>
      <c r="C289" s="118"/>
      <c r="D289" s="143" t="n">
        <f aca="false">BACKUP!D176</f>
        <v>1446637</v>
      </c>
      <c r="E289" s="143" t="n">
        <f aca="false">BACKUP!E176</f>
        <v>1450495</v>
      </c>
      <c r="F289" s="143" t="n">
        <f aca="false">BACKUP!F176</f>
        <v>1454095</v>
      </c>
      <c r="G289" s="143" t="n">
        <f aca="false">BACKUP!G176</f>
        <v>1457697</v>
      </c>
      <c r="H289" s="143" t="n">
        <f aca="false">BACKUP!H176</f>
        <v>1463022</v>
      </c>
      <c r="I289" s="143" t="n">
        <f aca="false">BACKUP!I176</f>
        <v>1464768</v>
      </c>
      <c r="J289" s="143" t="n">
        <f aca="false">BACKUP!J176</f>
        <v>1450869</v>
      </c>
      <c r="K289" s="143" t="n">
        <f aca="false">BACKUP!K176</f>
        <v>1454669</v>
      </c>
      <c r="L289" s="143" t="n">
        <f aca="false">BACKUP!L176</f>
        <v>1458514</v>
      </c>
      <c r="M289" s="143" t="n">
        <f aca="false">BACKUP!M176</f>
        <v>1463659</v>
      </c>
      <c r="N289" s="143" t="n">
        <f aca="false">BACKUP!N176</f>
        <v>1467554</v>
      </c>
      <c r="O289" s="143" t="n">
        <f aca="false">BACKUP!O176</f>
        <v>1471499</v>
      </c>
      <c r="P289" s="103"/>
      <c r="Q289" s="103"/>
      <c r="R289" s="103"/>
      <c r="S289" s="103"/>
      <c r="T289" s="130"/>
      <c r="U289" s="130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  <c r="AR289" s="103"/>
      <c r="AS289" s="103"/>
      <c r="AT289" s="103"/>
      <c r="AU289" s="103"/>
    </row>
    <row r="290" customFormat="false" ht="12.75" hidden="false" customHeight="false" outlineLevel="0" collapsed="false">
      <c r="A290" s="103"/>
      <c r="B290" s="103"/>
      <c r="C290" s="118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30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</row>
    <row r="291" customFormat="false" ht="12.75" hidden="false" customHeight="false" outlineLevel="0" collapsed="false">
      <c r="A291" s="155" t="str">
        <f aca="false">BACKUP!A180</f>
        <v>Deferred Contract Reformation Costs - Beg. Balance</v>
      </c>
      <c r="B291" s="103"/>
      <c r="C291" s="118"/>
      <c r="D291" s="130" t="n">
        <f aca="false">BACKUP!D180</f>
        <v>0</v>
      </c>
      <c r="E291" s="130" t="n">
        <f aca="false">BACKUP!E180</f>
        <v>0</v>
      </c>
      <c r="F291" s="130" t="n">
        <f aca="false">BACKUP!F180</f>
        <v>0</v>
      </c>
      <c r="G291" s="130" t="n">
        <f aca="false">BACKUP!G180</f>
        <v>0</v>
      </c>
      <c r="H291" s="130" t="n">
        <f aca="false">BACKUP!H180</f>
        <v>0</v>
      </c>
      <c r="I291" s="130" t="n">
        <f aca="false">BACKUP!I180</f>
        <v>0</v>
      </c>
      <c r="J291" s="130" t="n">
        <f aca="false">BACKUP!J180</f>
        <v>0</v>
      </c>
      <c r="K291" s="130" t="n">
        <f aca="false">BACKUP!K180</f>
        <v>0</v>
      </c>
      <c r="L291" s="130" t="n">
        <f aca="false">BACKUP!L180</f>
        <v>0</v>
      </c>
      <c r="M291" s="130" t="n">
        <f aca="false">BACKUP!M180</f>
        <v>0</v>
      </c>
      <c r="N291" s="130" t="n">
        <f aca="false">BACKUP!N180</f>
        <v>0</v>
      </c>
      <c r="O291" s="130" t="n">
        <f aca="false">BACKUP!O180</f>
        <v>0</v>
      </c>
      <c r="P291" s="130"/>
      <c r="Q291" s="130"/>
      <c r="R291" s="130"/>
      <c r="S291" s="103"/>
      <c r="T291" s="130"/>
      <c r="U291" s="130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</row>
    <row r="292" customFormat="false" ht="12.75" hidden="false" customHeight="false" outlineLevel="0" collapsed="false">
      <c r="A292" s="130" t="str">
        <f aca="false">BACKUP!A181</f>
        <v>   One Time Payments (Third Parties)</v>
      </c>
      <c r="B292" s="103"/>
      <c r="C292" s="118" t="s">
        <v>600</v>
      </c>
      <c r="D292" s="130" t="n">
        <f aca="false">BACKUP!D181</f>
        <v>0</v>
      </c>
      <c r="E292" s="130" t="n">
        <f aca="false">BACKUP!E181</f>
        <v>0</v>
      </c>
      <c r="F292" s="130" t="n">
        <f aca="false">BACKUP!F181</f>
        <v>0</v>
      </c>
      <c r="G292" s="130" t="n">
        <f aca="false">BACKUP!G181</f>
        <v>0</v>
      </c>
      <c r="H292" s="130" t="n">
        <f aca="false">BACKUP!H181</f>
        <v>0</v>
      </c>
      <c r="I292" s="130" t="n">
        <f aca="false">BACKUP!I181</f>
        <v>0</v>
      </c>
      <c r="J292" s="130" t="n">
        <f aca="false">BACKUP!J181</f>
        <v>0</v>
      </c>
      <c r="K292" s="130" t="n">
        <f aca="false">BACKUP!K181</f>
        <v>0</v>
      </c>
      <c r="L292" s="130" t="n">
        <f aca="false">BACKUP!L181</f>
        <v>0</v>
      </c>
      <c r="M292" s="130" t="n">
        <f aca="false">BACKUP!M181</f>
        <v>0</v>
      </c>
      <c r="N292" s="130" t="n">
        <f aca="false">BACKUP!N181</f>
        <v>0</v>
      </c>
      <c r="O292" s="130" t="n">
        <f aca="false">BACKUP!O181</f>
        <v>0</v>
      </c>
      <c r="P292" s="130" t="n">
        <f aca="false">SUM(D292:O292)</f>
        <v>0</v>
      </c>
      <c r="Q292" s="131" t="n">
        <f aca="false">SUM(D292:J292)</f>
        <v>0</v>
      </c>
      <c r="R292" s="130" t="n">
        <f aca="false">P292-Q292</f>
        <v>0</v>
      </c>
      <c r="S292" s="103"/>
      <c r="T292" s="130"/>
      <c r="U292" s="130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  <c r="AT292" s="103"/>
      <c r="AU292" s="103"/>
    </row>
    <row r="293" customFormat="false" ht="12.75" hidden="false" customHeight="false" outlineLevel="0" collapsed="false">
      <c r="A293" s="130" t="str">
        <f aca="false">BACKUP!A182</f>
        <v>   Actual / Estimate Adjustment</v>
      </c>
      <c r="B293" s="103"/>
      <c r="C293" s="118" t="s">
        <v>600</v>
      </c>
      <c r="D293" s="143" t="n">
        <f aca="false">BACKUP!D182</f>
        <v>0</v>
      </c>
      <c r="E293" s="143" t="n">
        <f aca="false">BACKUP!E182</f>
        <v>0</v>
      </c>
      <c r="F293" s="143" t="n">
        <f aca="false">BACKUP!F182</f>
        <v>0</v>
      </c>
      <c r="G293" s="143" t="n">
        <f aca="false">BACKUP!G182</f>
        <v>0</v>
      </c>
      <c r="H293" s="143" t="n">
        <f aca="false">BACKUP!H182</f>
        <v>0</v>
      </c>
      <c r="I293" s="143" t="n">
        <f aca="false">BACKUP!I182</f>
        <v>0</v>
      </c>
      <c r="J293" s="143" t="n">
        <f aca="false">BACKUP!J182</f>
        <v>0</v>
      </c>
      <c r="K293" s="143" t="n">
        <f aca="false">BACKUP!K182</f>
        <v>0</v>
      </c>
      <c r="L293" s="143" t="n">
        <f aca="false">BACKUP!L182</f>
        <v>0</v>
      </c>
      <c r="M293" s="143" t="n">
        <f aca="false">BACKUP!M182</f>
        <v>0</v>
      </c>
      <c r="N293" s="143" t="n">
        <f aca="false">BACKUP!N182</f>
        <v>0</v>
      </c>
      <c r="O293" s="143" t="n">
        <f aca="false">BACKUP!O182</f>
        <v>0</v>
      </c>
      <c r="P293" s="130" t="n">
        <f aca="false">SUM(D293:O293)</f>
        <v>0</v>
      </c>
      <c r="Q293" s="131" t="n">
        <f aca="false">SUM(D293:J293)</f>
        <v>0</v>
      </c>
      <c r="R293" s="130" t="n">
        <f aca="false">P293-Q293</f>
        <v>0</v>
      </c>
      <c r="S293" s="103"/>
      <c r="T293" s="103"/>
      <c r="U293" s="130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  <c r="AT293" s="103"/>
      <c r="AU293" s="103"/>
    </row>
    <row r="294" customFormat="false" ht="3.95" hidden="false" customHeight="true" outlineLevel="0" collapsed="false">
      <c r="A294" s="103"/>
      <c r="B294" s="103"/>
      <c r="C294" s="118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03"/>
      <c r="T294" s="130"/>
      <c r="U294" s="130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  <c r="AR294" s="103"/>
      <c r="AS294" s="103"/>
      <c r="AT294" s="103"/>
      <c r="AU294" s="103"/>
    </row>
    <row r="295" customFormat="false" ht="12.75" hidden="false" customHeight="false" outlineLevel="0" collapsed="false">
      <c r="A295" s="155" t="str">
        <f aca="false">BACKUP!A184</f>
        <v>Deferred Contract Reformation Costs - End. Balance</v>
      </c>
      <c r="B295" s="103"/>
      <c r="C295" s="118"/>
      <c r="D295" s="143" t="n">
        <f aca="false">BACKUP!D184</f>
        <v>0</v>
      </c>
      <c r="E295" s="143" t="n">
        <f aca="false">BACKUP!E184</f>
        <v>0</v>
      </c>
      <c r="F295" s="143" t="n">
        <f aca="false">BACKUP!F184</f>
        <v>0</v>
      </c>
      <c r="G295" s="143" t="n">
        <f aca="false">BACKUP!G184</f>
        <v>0</v>
      </c>
      <c r="H295" s="143" t="n">
        <f aca="false">BACKUP!H184</f>
        <v>0</v>
      </c>
      <c r="I295" s="143" t="n">
        <f aca="false">BACKUP!I184</f>
        <v>0</v>
      </c>
      <c r="J295" s="143" t="n">
        <f aca="false">BACKUP!J184</f>
        <v>0</v>
      </c>
      <c r="K295" s="143" t="n">
        <f aca="false">BACKUP!K184</f>
        <v>0</v>
      </c>
      <c r="L295" s="143" t="n">
        <f aca="false">BACKUP!L184</f>
        <v>0</v>
      </c>
      <c r="M295" s="143" t="n">
        <f aca="false">BACKUP!M184</f>
        <v>0</v>
      </c>
      <c r="N295" s="143" t="n">
        <f aca="false">BACKUP!N184</f>
        <v>0</v>
      </c>
      <c r="O295" s="143" t="n">
        <f aca="false">BACKUP!O184</f>
        <v>0</v>
      </c>
      <c r="P295" s="103"/>
      <c r="Q295" s="103"/>
      <c r="R295" s="103"/>
      <c r="S295" s="103"/>
      <c r="T295" s="130"/>
      <c r="U295" s="130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  <c r="AT295" s="103"/>
      <c r="AU295" s="103"/>
    </row>
    <row r="296" customFormat="false" ht="12.75" hidden="false" customHeight="false" outlineLevel="0" collapsed="false">
      <c r="A296" s="103"/>
      <c r="B296" s="103"/>
      <c r="C296" s="118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30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  <c r="AT296" s="103"/>
      <c r="AU296" s="103"/>
    </row>
    <row r="297" customFormat="false" ht="12.75" hidden="false" customHeight="false" outlineLevel="0" collapsed="false">
      <c r="A297" s="155" t="str">
        <f aca="false">BACKUP!A188</f>
        <v>Deferred Sev. / Relocation Charges - Beg. Balance</v>
      </c>
      <c r="B297" s="103"/>
      <c r="C297" s="118"/>
      <c r="D297" s="130" t="n">
        <f aca="false">BACKUP!D188</f>
        <v>0</v>
      </c>
      <c r="E297" s="130" t="n">
        <f aca="false">BACKUP!E188</f>
        <v>0</v>
      </c>
      <c r="F297" s="130" t="n">
        <f aca="false">BACKUP!F188</f>
        <v>0</v>
      </c>
      <c r="G297" s="130" t="n">
        <f aca="false">BACKUP!G188</f>
        <v>0</v>
      </c>
      <c r="H297" s="130" t="n">
        <f aca="false">BACKUP!H188</f>
        <v>0</v>
      </c>
      <c r="I297" s="130" t="n">
        <f aca="false">BACKUP!I188</f>
        <v>0</v>
      </c>
      <c r="J297" s="130" t="n">
        <f aca="false">BACKUP!J188</f>
        <v>0</v>
      </c>
      <c r="K297" s="130" t="n">
        <f aca="false">BACKUP!K188</f>
        <v>0</v>
      </c>
      <c r="L297" s="130" t="n">
        <f aca="false">BACKUP!L188</f>
        <v>0</v>
      </c>
      <c r="M297" s="130" t="n">
        <f aca="false">BACKUP!M188</f>
        <v>0</v>
      </c>
      <c r="N297" s="130" t="n">
        <f aca="false">BACKUP!N188</f>
        <v>0</v>
      </c>
      <c r="O297" s="130" t="n">
        <f aca="false">BACKUP!O188</f>
        <v>0</v>
      </c>
      <c r="P297" s="103"/>
      <c r="Q297" s="103"/>
      <c r="R297" s="103"/>
      <c r="S297" s="103"/>
      <c r="T297" s="130"/>
      <c r="U297" s="130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</row>
    <row r="298" customFormat="false" ht="12.75" hidden="false" customHeight="false" outlineLevel="0" collapsed="false">
      <c r="A298" s="130" t="str">
        <f aca="false">BACKUP!A189</f>
        <v>   Merger / Severance</v>
      </c>
      <c r="B298" s="103"/>
      <c r="C298" s="118" t="s">
        <v>601</v>
      </c>
      <c r="D298" s="130" t="n">
        <f aca="false">BACKUP!D189</f>
        <v>0</v>
      </c>
      <c r="E298" s="130" t="n">
        <f aca="false">BACKUP!E189</f>
        <v>0</v>
      </c>
      <c r="F298" s="130" t="n">
        <f aca="false">BACKUP!F189</f>
        <v>0</v>
      </c>
      <c r="G298" s="130" t="n">
        <f aca="false">BACKUP!G189</f>
        <v>0</v>
      </c>
      <c r="H298" s="130" t="n">
        <f aca="false">BACKUP!H189</f>
        <v>0</v>
      </c>
      <c r="I298" s="130" t="n">
        <f aca="false">BACKUP!I189</f>
        <v>0</v>
      </c>
      <c r="J298" s="130" t="n">
        <f aca="false">BACKUP!J189</f>
        <v>0</v>
      </c>
      <c r="K298" s="130" t="n">
        <f aca="false">BACKUP!K189</f>
        <v>0</v>
      </c>
      <c r="L298" s="130" t="n">
        <f aca="false">BACKUP!L189</f>
        <v>0</v>
      </c>
      <c r="M298" s="130" t="n">
        <f aca="false">BACKUP!M189</f>
        <v>0</v>
      </c>
      <c r="N298" s="130" t="n">
        <f aca="false">BACKUP!N189</f>
        <v>0</v>
      </c>
      <c r="O298" s="130" t="n">
        <f aca="false">BACKUP!O189</f>
        <v>0</v>
      </c>
      <c r="P298" s="130" t="n">
        <f aca="false">SUM(D298:O298)</f>
        <v>0</v>
      </c>
      <c r="Q298" s="131" t="n">
        <f aca="false">SUM(D298:J298)</f>
        <v>0</v>
      </c>
      <c r="R298" s="130" t="n">
        <f aca="false">P298-Q298</f>
        <v>0</v>
      </c>
      <c r="S298" s="103"/>
      <c r="T298" s="103"/>
      <c r="U298" s="130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</row>
    <row r="299" customFormat="false" ht="12.75" hidden="false" customHeight="false" outlineLevel="0" collapsed="false">
      <c r="A299" s="130" t="str">
        <f aca="false">BACKUP!A190</f>
        <v>   Actual / Estimate Adjustment</v>
      </c>
      <c r="B299" s="103"/>
      <c r="C299" s="118" t="s">
        <v>601</v>
      </c>
      <c r="D299" s="143" t="n">
        <f aca="false">BACKUP!D190</f>
        <v>0</v>
      </c>
      <c r="E299" s="143" t="n">
        <f aca="false">BACKUP!E190</f>
        <v>0</v>
      </c>
      <c r="F299" s="143" t="n">
        <f aca="false">BACKUP!F190</f>
        <v>0</v>
      </c>
      <c r="G299" s="143" t="n">
        <f aca="false">BACKUP!G190</f>
        <v>0</v>
      </c>
      <c r="H299" s="143" t="n">
        <f aca="false">BACKUP!H190</f>
        <v>0</v>
      </c>
      <c r="I299" s="143" t="n">
        <f aca="false">BACKUP!I190</f>
        <v>0</v>
      </c>
      <c r="J299" s="143" t="n">
        <f aca="false">BACKUP!J190</f>
        <v>0</v>
      </c>
      <c r="K299" s="143" t="n">
        <f aca="false">BACKUP!K190</f>
        <v>0</v>
      </c>
      <c r="L299" s="143" t="n">
        <f aca="false">BACKUP!L190</f>
        <v>0</v>
      </c>
      <c r="M299" s="143" t="n">
        <f aca="false">BACKUP!M190</f>
        <v>0</v>
      </c>
      <c r="N299" s="143" t="n">
        <f aca="false">BACKUP!N190</f>
        <v>0</v>
      </c>
      <c r="O299" s="143" t="n">
        <f aca="false">BACKUP!O190</f>
        <v>0</v>
      </c>
      <c r="P299" s="130" t="n">
        <f aca="false">SUM(D299:O299)</f>
        <v>0</v>
      </c>
      <c r="Q299" s="131" t="n">
        <f aca="false">SUM(D299:J299)</f>
        <v>0</v>
      </c>
      <c r="R299" s="130" t="n">
        <f aca="false">P299-Q299</f>
        <v>0</v>
      </c>
      <c r="S299" s="103"/>
      <c r="T299" s="103"/>
      <c r="U299" s="130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</row>
    <row r="300" customFormat="false" ht="3.95" hidden="false" customHeight="true" outlineLevel="0" collapsed="false">
      <c r="A300" s="103"/>
      <c r="B300" s="103"/>
      <c r="C300" s="118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03"/>
      <c r="Q300" s="103"/>
      <c r="R300" s="103"/>
      <c r="S300" s="103"/>
      <c r="T300" s="103"/>
      <c r="U300" s="130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</row>
    <row r="301" customFormat="false" ht="12.75" hidden="false" customHeight="false" outlineLevel="0" collapsed="false">
      <c r="A301" s="155" t="str">
        <f aca="false">BACKUP!A192</f>
        <v>Deferred Sev. / Relocation Charges - End. Balance</v>
      </c>
      <c r="B301" s="103"/>
      <c r="C301" s="118"/>
      <c r="D301" s="143" t="n">
        <f aca="false">BACKUP!D192</f>
        <v>0</v>
      </c>
      <c r="E301" s="143" t="n">
        <f aca="false">BACKUP!E192</f>
        <v>0</v>
      </c>
      <c r="F301" s="143" t="n">
        <f aca="false">BACKUP!F192</f>
        <v>0</v>
      </c>
      <c r="G301" s="143" t="n">
        <f aca="false">BACKUP!G192</f>
        <v>0</v>
      </c>
      <c r="H301" s="143" t="n">
        <f aca="false">BACKUP!H192</f>
        <v>0</v>
      </c>
      <c r="I301" s="143" t="n">
        <f aca="false">BACKUP!I192</f>
        <v>0</v>
      </c>
      <c r="J301" s="143" t="n">
        <f aca="false">BACKUP!J192</f>
        <v>0</v>
      </c>
      <c r="K301" s="143" t="n">
        <f aca="false">BACKUP!K192</f>
        <v>0</v>
      </c>
      <c r="L301" s="143" t="n">
        <f aca="false">BACKUP!L192</f>
        <v>0</v>
      </c>
      <c r="M301" s="143" t="n">
        <f aca="false">BACKUP!M192</f>
        <v>0</v>
      </c>
      <c r="N301" s="143" t="n">
        <f aca="false">BACKUP!N192</f>
        <v>0</v>
      </c>
      <c r="O301" s="143" t="n">
        <f aca="false">BACKUP!O192</f>
        <v>0</v>
      </c>
      <c r="P301" s="103"/>
      <c r="Q301" s="103"/>
      <c r="R301" s="103"/>
      <c r="S301" s="103"/>
      <c r="T301" s="130"/>
      <c r="U301" s="130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  <c r="AT301" s="103"/>
      <c r="AU301" s="103"/>
    </row>
    <row r="302" customFormat="false" ht="8.1" hidden="false" customHeight="true" outlineLevel="0" collapsed="false">
      <c r="A302" s="103"/>
      <c r="B302" s="103"/>
      <c r="C302" s="118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30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</row>
    <row r="303" customFormat="false" ht="12.75" hidden="false" customHeight="false" outlineLevel="0" collapsed="false">
      <c r="A303" s="103"/>
      <c r="B303" s="103"/>
      <c r="C303" s="118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30"/>
      <c r="U303" s="130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</row>
    <row r="304" customFormat="false" ht="12.75" hidden="false" customHeight="false" outlineLevel="0" collapsed="false">
      <c r="A304" s="155" t="str">
        <f aca="false">BACKUP!A252</f>
        <v>Deferred Charges - Beg. Balance</v>
      </c>
      <c r="B304" s="103"/>
      <c r="C304" s="118"/>
      <c r="D304" s="130" t="n">
        <f aca="false">BACKUP!D252</f>
        <v>9150</v>
      </c>
      <c r="E304" s="130" t="n">
        <f aca="false">BACKUP!E252</f>
        <v>8391</v>
      </c>
      <c r="F304" s="130" t="n">
        <f aca="false">BACKUP!F252</f>
        <v>10015</v>
      </c>
      <c r="G304" s="130" t="n">
        <f aca="false">BACKUP!G252</f>
        <v>9127</v>
      </c>
      <c r="H304" s="130" t="n">
        <f aca="false">BACKUP!H252</f>
        <v>9335</v>
      </c>
      <c r="I304" s="130" t="n">
        <f aca="false">BACKUP!I252</f>
        <v>9572</v>
      </c>
      <c r="J304" s="130" t="n">
        <f aca="false">BACKUP!J252</f>
        <v>10257</v>
      </c>
      <c r="K304" s="130" t="n">
        <f aca="false">BACKUP!K252</f>
        <v>10958</v>
      </c>
      <c r="L304" s="130" t="n">
        <f aca="false">BACKUP!L252</f>
        <v>10960</v>
      </c>
      <c r="M304" s="130" t="n">
        <f aca="false">BACKUP!M252</f>
        <v>10959</v>
      </c>
      <c r="N304" s="130" t="n">
        <f aca="false">BACKUP!N252</f>
        <v>10960</v>
      </c>
      <c r="O304" s="130" t="n">
        <f aca="false">BACKUP!O252</f>
        <v>10889</v>
      </c>
      <c r="P304" s="130"/>
      <c r="Q304" s="130"/>
      <c r="R304" s="130"/>
      <c r="S304" s="103"/>
      <c r="T304" s="130"/>
      <c r="U304" s="130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</row>
    <row r="305" customFormat="false" ht="12.75" hidden="false" customHeight="false" outlineLevel="0" collapsed="false">
      <c r="A305" s="130" t="str">
        <f aca="false">BACKUP!A253</f>
        <v>   Amortized Loss on Reacquired Debt</v>
      </c>
      <c r="B305" s="103"/>
      <c r="C305" s="118" t="s">
        <v>592</v>
      </c>
      <c r="D305" s="130" t="n">
        <f aca="false">BACKUP!D253</f>
        <v>-39</v>
      </c>
      <c r="E305" s="130" t="n">
        <f aca="false">BACKUP!E253</f>
        <v>-38</v>
      </c>
      <c r="F305" s="130" t="n">
        <f aca="false">BACKUP!F253</f>
        <v>-39</v>
      </c>
      <c r="G305" s="130" t="n">
        <f aca="false">BACKUP!G253</f>
        <v>-38</v>
      </c>
      <c r="H305" s="130" t="n">
        <f aca="false">BACKUP!H253</f>
        <v>-39</v>
      </c>
      <c r="I305" s="130" t="n">
        <f aca="false">BACKUP!I253</f>
        <v>-38</v>
      </c>
      <c r="J305" s="130" t="n">
        <f aca="false">BACKUP!J253</f>
        <v>-39</v>
      </c>
      <c r="K305" s="130" t="n">
        <f aca="false">BACKUP!K253</f>
        <v>-38</v>
      </c>
      <c r="L305" s="130" t="n">
        <f aca="false">BACKUP!L253</f>
        <v>-39</v>
      </c>
      <c r="M305" s="130" t="n">
        <f aca="false">BACKUP!M253</f>
        <v>-38</v>
      </c>
      <c r="N305" s="130" t="n">
        <f aca="false">BACKUP!N253</f>
        <v>-39</v>
      </c>
      <c r="O305" s="130" t="n">
        <f aca="false">BACKUP!O253</f>
        <v>-39</v>
      </c>
      <c r="P305" s="130" t="n">
        <f aca="false">SUM(D305:O305)</f>
        <v>-463</v>
      </c>
      <c r="Q305" s="131" t="n">
        <f aca="false">SUM(D305:J305)</f>
        <v>-270</v>
      </c>
      <c r="R305" s="130" t="n">
        <f aca="false">P305-Q305</f>
        <v>-193</v>
      </c>
      <c r="S305" s="103"/>
      <c r="T305" s="131" t="n">
        <v>0</v>
      </c>
      <c r="U305" s="131" t="n">
        <v>0</v>
      </c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</row>
    <row r="306" customFormat="false" ht="12.75" hidden="false" customHeight="false" outlineLevel="0" collapsed="false">
      <c r="A306" s="130" t="str">
        <f aca="false">BACKUP!A254</f>
        <v>   Non Construction WIP </v>
      </c>
      <c r="B306" s="103"/>
      <c r="C306" s="118" t="s">
        <v>592</v>
      </c>
      <c r="D306" s="130" t="n">
        <f aca="false">BACKUP!D254</f>
        <v>-684</v>
      </c>
      <c r="E306" s="130" t="n">
        <f aca="false">BACKUP!E254</f>
        <v>1693</v>
      </c>
      <c r="F306" s="130" t="n">
        <f aca="false">BACKUP!F254</f>
        <v>-817</v>
      </c>
      <c r="G306" s="130" t="n">
        <f aca="false">BACKUP!G254</f>
        <v>277</v>
      </c>
      <c r="H306" s="130" t="n">
        <f aca="false">BACKUP!H254</f>
        <v>308</v>
      </c>
      <c r="I306" s="130" t="n">
        <f aca="false">BACKUP!I254</f>
        <v>754</v>
      </c>
      <c r="J306" s="130" t="n">
        <f aca="false">BACKUP!J254</f>
        <v>771</v>
      </c>
      <c r="K306" s="130" t="n">
        <f aca="false">BACKUP!K254</f>
        <v>70</v>
      </c>
      <c r="L306" s="130" t="n">
        <f aca="false">BACKUP!L254</f>
        <v>70</v>
      </c>
      <c r="M306" s="130" t="n">
        <f aca="false">BACKUP!M254</f>
        <v>70</v>
      </c>
      <c r="N306" s="130" t="n">
        <f aca="false">BACKUP!N254</f>
        <v>0</v>
      </c>
      <c r="O306" s="130" t="n">
        <f aca="false">BACKUP!O254</f>
        <v>-700</v>
      </c>
      <c r="P306" s="130" t="n">
        <f aca="false">SUM(D306:O306)</f>
        <v>1812</v>
      </c>
      <c r="Q306" s="131" t="n">
        <f aca="false">SUM(D306:J306)</f>
        <v>2302</v>
      </c>
      <c r="R306" s="130" t="n">
        <f aca="false">P306-Q306</f>
        <v>-490</v>
      </c>
      <c r="S306" s="103"/>
      <c r="T306" s="130"/>
      <c r="U306" s="130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</row>
    <row r="307" customFormat="false" ht="12.75" hidden="false" customHeight="false" outlineLevel="0" collapsed="false">
      <c r="A307" s="130" t="str">
        <f aca="false">BACKUP!A255</f>
        <v>      - Y2K Cost Deferrals (Reclass to Reg Assets 7/00)</v>
      </c>
      <c r="B307" s="103"/>
      <c r="C307" s="118" t="s">
        <v>592</v>
      </c>
      <c r="D307" s="130" t="n">
        <f aca="false">BACKUP!D255</f>
        <v>0</v>
      </c>
      <c r="E307" s="130" t="n">
        <f aca="false">BACKUP!E255</f>
        <v>0</v>
      </c>
      <c r="F307" s="130" t="n">
        <f aca="false">BACKUP!F255</f>
        <v>0</v>
      </c>
      <c r="G307" s="130" t="n">
        <f aca="false">BACKUP!G255</f>
        <v>0</v>
      </c>
      <c r="H307" s="130" t="n">
        <f aca="false">BACKUP!H255</f>
        <v>0</v>
      </c>
      <c r="I307" s="130" t="n">
        <f aca="false">BACKUP!I255</f>
        <v>0</v>
      </c>
      <c r="J307" s="130" t="n">
        <f aca="false">BACKUP!J255</f>
        <v>0</v>
      </c>
      <c r="K307" s="130" t="n">
        <f aca="false">BACKUP!K255</f>
        <v>0</v>
      </c>
      <c r="L307" s="130" t="n">
        <f aca="false">BACKUP!L255</f>
        <v>0</v>
      </c>
      <c r="M307" s="130" t="n">
        <f aca="false">BACKUP!M255</f>
        <v>0</v>
      </c>
      <c r="N307" s="130" t="n">
        <f aca="false">BACKUP!N255</f>
        <v>0</v>
      </c>
      <c r="O307" s="130" t="n">
        <f aca="false">BACKUP!O255</f>
        <v>0</v>
      </c>
      <c r="P307" s="130" t="n">
        <f aca="false">SUM(D307:O307)</f>
        <v>0</v>
      </c>
      <c r="Q307" s="131" t="n">
        <f aca="false">SUM(D307:J307)</f>
        <v>0</v>
      </c>
      <c r="R307" s="130" t="n">
        <f aca="false">P307-Q307</f>
        <v>0</v>
      </c>
      <c r="S307" s="103"/>
      <c r="T307" s="130"/>
      <c r="U307" s="130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</row>
    <row r="308" customFormat="false" ht="12.75" hidden="false" customHeight="false" outlineLevel="0" collapsed="false">
      <c r="A308" s="130" t="str">
        <f aca="false">BACKUP!A256</f>
        <v>      - Mobil Annual Settlement (1996-2001Exp. In 2000) / Amort.</v>
      </c>
      <c r="B308" s="103"/>
      <c r="C308" s="118" t="s">
        <v>592</v>
      </c>
      <c r="D308" s="130" t="n">
        <f aca="false">BACKUP!D256</f>
        <v>0</v>
      </c>
      <c r="E308" s="130" t="n">
        <f aca="false">BACKUP!E256</f>
        <v>0</v>
      </c>
      <c r="F308" s="130" t="n">
        <f aca="false">BACKUP!F256</f>
        <v>0</v>
      </c>
      <c r="G308" s="130" t="n">
        <f aca="false">BACKUP!G256</f>
        <v>0</v>
      </c>
      <c r="H308" s="130" t="n">
        <f aca="false">BACKUP!H256</f>
        <v>0</v>
      </c>
      <c r="I308" s="130" t="n">
        <f aca="false">BACKUP!I256</f>
        <v>0</v>
      </c>
      <c r="J308" s="130" t="n">
        <f aca="false">BACKUP!J256</f>
        <v>0</v>
      </c>
      <c r="K308" s="130" t="n">
        <f aca="false">BACKUP!K256</f>
        <v>0</v>
      </c>
      <c r="L308" s="130" t="n">
        <f aca="false">BACKUP!L256</f>
        <v>0</v>
      </c>
      <c r="M308" s="130" t="n">
        <f aca="false">BACKUP!M256</f>
        <v>0</v>
      </c>
      <c r="N308" s="130" t="n">
        <f aca="false">BACKUP!N256</f>
        <v>0</v>
      </c>
      <c r="O308" s="130" t="n">
        <f aca="false">BACKUP!O256</f>
        <v>0</v>
      </c>
      <c r="P308" s="130" t="n">
        <f aca="false">SUM(D308:O308)</f>
        <v>0</v>
      </c>
      <c r="Q308" s="131" t="n">
        <f aca="false">SUM(D308:J308)</f>
        <v>0</v>
      </c>
      <c r="R308" s="130" t="n">
        <f aca="false">P308-Q308</f>
        <v>0</v>
      </c>
      <c r="S308" s="103"/>
      <c r="T308" s="131" t="n">
        <v>0</v>
      </c>
      <c r="U308" s="131" t="n">
        <v>0</v>
      </c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</row>
    <row r="309" customFormat="false" ht="12.75" hidden="false" customHeight="false" outlineLevel="0" collapsed="false">
      <c r="A309" s="130" t="str">
        <f aca="false">BACKUP!A257</f>
        <v>   Unamortized Debt Expense - $250.0 MM Note</v>
      </c>
      <c r="B309" s="103"/>
      <c r="C309" s="118" t="s">
        <v>592</v>
      </c>
      <c r="D309" s="130" t="n">
        <f aca="false">BACKUP!D257</f>
        <v>-14</v>
      </c>
      <c r="E309" s="130" t="n">
        <f aca="false">BACKUP!E257</f>
        <v>-13</v>
      </c>
      <c r="F309" s="130" t="n">
        <f aca="false">BACKUP!F257</f>
        <v>-14</v>
      </c>
      <c r="G309" s="130" t="n">
        <f aca="false">BACKUP!G257</f>
        <v>-14</v>
      </c>
      <c r="H309" s="130" t="n">
        <f aca="false">BACKUP!H257</f>
        <v>-14</v>
      </c>
      <c r="I309" s="130" t="n">
        <f aca="false">BACKUP!I257</f>
        <v>-13</v>
      </c>
      <c r="J309" s="130" t="n">
        <f aca="false">BACKUP!J257</f>
        <v>-13</v>
      </c>
      <c r="K309" s="130" t="n">
        <f aca="false">BACKUP!K257</f>
        <v>-13</v>
      </c>
      <c r="L309" s="130" t="n">
        <f aca="false">BACKUP!L257</f>
        <v>-14</v>
      </c>
      <c r="M309" s="130" t="n">
        <f aca="false">BACKUP!M257</f>
        <v>-13</v>
      </c>
      <c r="N309" s="130" t="n">
        <f aca="false">BACKUP!N257</f>
        <v>-14</v>
      </c>
      <c r="O309" s="130" t="n">
        <f aca="false">BACKUP!O257</f>
        <v>-13</v>
      </c>
      <c r="P309" s="130" t="n">
        <f aca="false">SUM(D309:O309)</f>
        <v>-162</v>
      </c>
      <c r="Q309" s="131" t="n">
        <f aca="false">SUM(D309:J309)</f>
        <v>-95</v>
      </c>
      <c r="R309" s="130" t="n">
        <f aca="false">P309-Q309</f>
        <v>-67</v>
      </c>
      <c r="S309" s="103"/>
      <c r="T309" s="131" t="n">
        <v>0</v>
      </c>
      <c r="U309" s="131" t="n">
        <v>0</v>
      </c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</row>
    <row r="310" customFormat="false" ht="12.75" hidden="false" customHeight="false" outlineLevel="0" collapsed="false">
      <c r="A310" s="130" t="str">
        <f aca="false">BACKUP!A258</f>
        <v>      - $100.0 MM Note</v>
      </c>
      <c r="B310" s="103"/>
      <c r="C310" s="118" t="s">
        <v>592</v>
      </c>
      <c r="D310" s="130" t="n">
        <f aca="false">BACKUP!D258</f>
        <v>-7</v>
      </c>
      <c r="E310" s="130" t="n">
        <f aca="false">BACKUP!E258</f>
        <v>-7</v>
      </c>
      <c r="F310" s="130" t="n">
        <f aca="false">BACKUP!F258</f>
        <v>-7</v>
      </c>
      <c r="G310" s="130" t="n">
        <f aca="false">BACKUP!G258</f>
        <v>-6</v>
      </c>
      <c r="H310" s="130" t="n">
        <f aca="false">BACKUP!H258</f>
        <v>-7</v>
      </c>
      <c r="I310" s="130" t="n">
        <f aca="false">BACKUP!I258</f>
        <v>-7</v>
      </c>
      <c r="J310" s="130" t="n">
        <f aca="false">BACKUP!J258</f>
        <v>-7</v>
      </c>
      <c r="K310" s="130" t="n">
        <f aca="false">BACKUP!K258</f>
        <v>-6</v>
      </c>
      <c r="L310" s="130" t="n">
        <f aca="false">BACKUP!L258</f>
        <v>-7</v>
      </c>
      <c r="M310" s="130" t="n">
        <f aca="false">BACKUP!M258</f>
        <v>-7</v>
      </c>
      <c r="N310" s="130" t="n">
        <f aca="false">BACKUP!N258</f>
        <v>-7</v>
      </c>
      <c r="O310" s="130" t="n">
        <f aca="false">BACKUP!O258</f>
        <v>-6</v>
      </c>
      <c r="P310" s="130" t="n">
        <f aca="false">SUM(D310:O310)</f>
        <v>-81</v>
      </c>
      <c r="Q310" s="131" t="n">
        <f aca="false">SUM(D310:J310)</f>
        <v>-48</v>
      </c>
      <c r="R310" s="130" t="n">
        <f aca="false">P310-Q310</f>
        <v>-33</v>
      </c>
      <c r="S310" s="103"/>
      <c r="T310" s="131"/>
      <c r="U310" s="131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</row>
    <row r="311" customFormat="false" ht="12.75" hidden="false" customHeight="false" outlineLevel="0" collapsed="false">
      <c r="A311" s="130" t="str">
        <f aca="false">BACKUP!A259</f>
        <v>      - $150.0 MM Note</v>
      </c>
      <c r="B311" s="103"/>
      <c r="C311" s="118" t="s">
        <v>592</v>
      </c>
      <c r="D311" s="130" t="n">
        <f aca="false">BACKUP!D259</f>
        <v>-11</v>
      </c>
      <c r="E311" s="130" t="n">
        <f aca="false">BACKUP!E259</f>
        <v>-11</v>
      </c>
      <c r="F311" s="130" t="n">
        <f aca="false">BACKUP!F259</f>
        <v>-11</v>
      </c>
      <c r="G311" s="130" t="n">
        <f aca="false">BACKUP!G259</f>
        <v>-11</v>
      </c>
      <c r="H311" s="130" t="n">
        <f aca="false">BACKUP!H259</f>
        <v>-11</v>
      </c>
      <c r="I311" s="130" t="n">
        <f aca="false">BACKUP!I259</f>
        <v>-11</v>
      </c>
      <c r="J311" s="130" t="n">
        <f aca="false">BACKUP!J259</f>
        <v>-11</v>
      </c>
      <c r="K311" s="130" t="n">
        <f aca="false">BACKUP!K259</f>
        <v>-11</v>
      </c>
      <c r="L311" s="130" t="n">
        <f aca="false">BACKUP!L259</f>
        <v>-11</v>
      </c>
      <c r="M311" s="130" t="n">
        <f aca="false">BACKUP!M259</f>
        <v>-11</v>
      </c>
      <c r="N311" s="130" t="n">
        <f aca="false">BACKUP!N259</f>
        <v>-11</v>
      </c>
      <c r="O311" s="130" t="n">
        <f aca="false">BACKUP!O259</f>
        <v>-10</v>
      </c>
      <c r="P311" s="130" t="n">
        <f aca="false">SUM(D311:O311)</f>
        <v>-131</v>
      </c>
      <c r="Q311" s="131" t="n">
        <f aca="false">SUM(D311:J311)</f>
        <v>-77</v>
      </c>
      <c r="R311" s="130" t="n">
        <f aca="false">P311-Q311</f>
        <v>-54</v>
      </c>
      <c r="S311" s="103"/>
      <c r="T311" s="131"/>
      <c r="U311" s="131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</row>
    <row r="312" customFormat="false" ht="12.75" hidden="false" customHeight="false" outlineLevel="0" collapsed="false">
      <c r="A312" s="130" t="str">
        <f aca="false">BACKUP!A260</f>
        <v>   Other</v>
      </c>
      <c r="B312" s="103"/>
      <c r="C312" s="118" t="s">
        <v>592</v>
      </c>
      <c r="D312" s="130" t="n">
        <f aca="false">BACKUP!D260</f>
        <v>0</v>
      </c>
      <c r="E312" s="130" t="n">
        <f aca="false">BACKUP!E260</f>
        <v>0</v>
      </c>
      <c r="F312" s="130" t="n">
        <f aca="false">BACKUP!F260</f>
        <v>0</v>
      </c>
      <c r="G312" s="130" t="n">
        <f aca="false">BACKUP!G260</f>
        <v>0</v>
      </c>
      <c r="H312" s="130" t="n">
        <f aca="false">BACKUP!H260</f>
        <v>0</v>
      </c>
      <c r="I312" s="130" t="n">
        <f aca="false">BACKUP!I260</f>
        <v>0</v>
      </c>
      <c r="J312" s="130" t="n">
        <f aca="false">BACKUP!J260</f>
        <v>0</v>
      </c>
      <c r="K312" s="130" t="n">
        <f aca="false">BACKUP!K260</f>
        <v>0</v>
      </c>
      <c r="L312" s="130" t="n">
        <f aca="false">BACKUP!L260</f>
        <v>0</v>
      </c>
      <c r="M312" s="130" t="n">
        <f aca="false">BACKUP!M260</f>
        <v>0</v>
      </c>
      <c r="N312" s="130" t="n">
        <f aca="false">BACKUP!N260</f>
        <v>0</v>
      </c>
      <c r="O312" s="130" t="n">
        <f aca="false">BACKUP!O260</f>
        <v>0</v>
      </c>
      <c r="P312" s="130" t="n">
        <f aca="false">SUM(D312:O312)</f>
        <v>0</v>
      </c>
      <c r="Q312" s="131" t="n">
        <f aca="false">SUM(D312:J312)</f>
        <v>0</v>
      </c>
      <c r="R312" s="130" t="n">
        <f aca="false">P312-Q312</f>
        <v>0</v>
      </c>
      <c r="S312" s="103"/>
      <c r="T312" s="131" t="n">
        <v>0</v>
      </c>
      <c r="U312" s="131" t="n">
        <v>0</v>
      </c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</row>
    <row r="313" customFormat="false" ht="12.75" hidden="false" customHeight="false" outlineLevel="0" collapsed="false">
      <c r="A313" s="130" t="str">
        <f aca="false">BACKUP!A261</f>
        <v>   Other</v>
      </c>
      <c r="B313" s="103"/>
      <c r="C313" s="118" t="s">
        <v>592</v>
      </c>
      <c r="D313" s="130" t="n">
        <f aca="false">BACKUP!D261</f>
        <v>0</v>
      </c>
      <c r="E313" s="130" t="n">
        <f aca="false">BACKUP!E261</f>
        <v>0</v>
      </c>
      <c r="F313" s="130" t="n">
        <f aca="false">BACKUP!F261</f>
        <v>0</v>
      </c>
      <c r="G313" s="130" t="n">
        <f aca="false">BACKUP!G261</f>
        <v>0</v>
      </c>
      <c r="H313" s="130" t="n">
        <f aca="false">BACKUP!H261</f>
        <v>0</v>
      </c>
      <c r="I313" s="130" t="n">
        <f aca="false">BACKUP!I261</f>
        <v>0</v>
      </c>
      <c r="J313" s="130" t="n">
        <f aca="false">BACKUP!J261</f>
        <v>0</v>
      </c>
      <c r="K313" s="130" t="n">
        <f aca="false">BACKUP!K261</f>
        <v>0</v>
      </c>
      <c r="L313" s="130" t="n">
        <f aca="false">BACKUP!L261</f>
        <v>0</v>
      </c>
      <c r="M313" s="130" t="n">
        <f aca="false">BACKUP!M261</f>
        <v>0</v>
      </c>
      <c r="N313" s="130" t="n">
        <f aca="false">BACKUP!N261</f>
        <v>0</v>
      </c>
      <c r="O313" s="130" t="n">
        <f aca="false">BACKUP!O261</f>
        <v>0</v>
      </c>
      <c r="P313" s="130" t="n">
        <f aca="false">SUM(D313:O313)</f>
        <v>0</v>
      </c>
      <c r="Q313" s="131" t="n">
        <f aca="false">SUM(D313:J313)</f>
        <v>0</v>
      </c>
      <c r="R313" s="130" t="n">
        <f aca="false">P313-Q313</f>
        <v>0</v>
      </c>
      <c r="S313" s="103"/>
      <c r="T313" s="131" t="n">
        <v>0</v>
      </c>
      <c r="U313" s="131" t="n">
        <v>0</v>
      </c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</row>
    <row r="314" customFormat="false" ht="12.75" hidden="false" customHeight="false" outlineLevel="0" collapsed="false">
      <c r="A314" s="130" t="str">
        <f aca="false">BACKUP!A262</f>
        <v>   Miscellaneous</v>
      </c>
      <c r="B314" s="103"/>
      <c r="C314" s="118" t="s">
        <v>592</v>
      </c>
      <c r="D314" s="130" t="n">
        <f aca="false">BACKUP!D262</f>
        <v>-4</v>
      </c>
      <c r="E314" s="130" t="n">
        <f aca="false">BACKUP!E262</f>
        <v>0</v>
      </c>
      <c r="F314" s="130" t="n">
        <f aca="false">BACKUP!F262</f>
        <v>0</v>
      </c>
      <c r="G314" s="130" t="n">
        <f aca="false">BACKUP!G262</f>
        <v>0</v>
      </c>
      <c r="H314" s="130" t="n">
        <f aca="false">BACKUP!H262</f>
        <v>0</v>
      </c>
      <c r="I314" s="130" t="n">
        <f aca="false">BACKUP!I262</f>
        <v>0</v>
      </c>
      <c r="J314" s="130" t="n">
        <f aca="false">BACKUP!J262</f>
        <v>0</v>
      </c>
      <c r="K314" s="130" t="n">
        <f aca="false">BACKUP!K262</f>
        <v>0</v>
      </c>
      <c r="L314" s="130" t="n">
        <f aca="false">BACKUP!L262</f>
        <v>0</v>
      </c>
      <c r="M314" s="130" t="n">
        <f aca="false">BACKUP!M262</f>
        <v>0</v>
      </c>
      <c r="N314" s="130" t="n">
        <f aca="false">BACKUP!N262</f>
        <v>0</v>
      </c>
      <c r="O314" s="130" t="n">
        <f aca="false">BACKUP!O262</f>
        <v>0</v>
      </c>
      <c r="P314" s="130" t="n">
        <f aca="false">SUM(D314:O314)</f>
        <v>-4</v>
      </c>
      <c r="Q314" s="131" t="n">
        <f aca="false">SUM(D314:J314)</f>
        <v>-4</v>
      </c>
      <c r="R314" s="130" t="n">
        <f aca="false">P314-Q314</f>
        <v>0</v>
      </c>
      <c r="S314" s="103"/>
      <c r="T314" s="131" t="n">
        <v>0</v>
      </c>
      <c r="U314" s="131" t="n">
        <v>0</v>
      </c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</row>
    <row r="315" customFormat="false" ht="12.75" hidden="false" customHeight="false" outlineLevel="0" collapsed="false">
      <c r="A315" s="130" t="str">
        <f aca="false">BACKUP!A263</f>
        <v>   Non-Recurring Structured Produces (Non Cash)</v>
      </c>
      <c r="B315" s="103"/>
      <c r="C315" s="118" t="s">
        <v>592</v>
      </c>
      <c r="D315" s="130" t="n">
        <f aca="false">BACKUP!D263</f>
        <v>0</v>
      </c>
      <c r="E315" s="130" t="n">
        <f aca="false">BACKUP!E263</f>
        <v>0</v>
      </c>
      <c r="F315" s="130" t="n">
        <f aca="false">BACKUP!F263</f>
        <v>0</v>
      </c>
      <c r="G315" s="130" t="n">
        <f aca="false">BACKUP!G263</f>
        <v>0</v>
      </c>
      <c r="H315" s="130" t="n">
        <f aca="false">BACKUP!H263</f>
        <v>0</v>
      </c>
      <c r="I315" s="130" t="n">
        <f aca="false">BACKUP!I263</f>
        <v>0</v>
      </c>
      <c r="J315" s="130" t="n">
        <f aca="false">BACKUP!J263</f>
        <v>0</v>
      </c>
      <c r="K315" s="130" t="n">
        <f aca="false">BACKUP!K263</f>
        <v>0</v>
      </c>
      <c r="L315" s="130" t="n">
        <f aca="false">BACKUP!L263</f>
        <v>0</v>
      </c>
      <c r="M315" s="130" t="n">
        <f aca="false">BACKUP!M263</f>
        <v>0</v>
      </c>
      <c r="N315" s="130" t="n">
        <f aca="false">BACKUP!N263</f>
        <v>0</v>
      </c>
      <c r="O315" s="130" t="n">
        <f aca="false">BACKUP!O263</f>
        <v>0</v>
      </c>
      <c r="P315" s="130" t="n">
        <f aca="false">SUM(D315:O315)</f>
        <v>0</v>
      </c>
      <c r="Q315" s="131" t="n">
        <f aca="false">SUM(D315:J315)</f>
        <v>0</v>
      </c>
      <c r="R315" s="130" t="n">
        <f aca="false">P315-Q315</f>
        <v>0</v>
      </c>
      <c r="S315" s="103"/>
      <c r="T315" s="131" t="n">
        <v>0</v>
      </c>
      <c r="U315" s="131" t="n">
        <v>0</v>
      </c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</row>
    <row r="316" customFormat="false" ht="12.75" hidden="false" customHeight="false" outlineLevel="0" collapsed="false">
      <c r="A316" s="130" t="str">
        <f aca="false">BACKUP!A264</f>
        <v>   Unidentified "Stretch" (Non Cash)</v>
      </c>
      <c r="B316" s="103"/>
      <c r="C316" s="118" t="s">
        <v>592</v>
      </c>
      <c r="D316" s="130" t="n">
        <f aca="false">BACKUP!D264</f>
        <v>0</v>
      </c>
      <c r="E316" s="130" t="n">
        <f aca="false">BACKUP!E264</f>
        <v>0</v>
      </c>
      <c r="F316" s="130" t="n">
        <f aca="false">BACKUP!F264</f>
        <v>0</v>
      </c>
      <c r="G316" s="130" t="n">
        <f aca="false">BACKUP!G264</f>
        <v>0</v>
      </c>
      <c r="H316" s="130" t="n">
        <f aca="false">BACKUP!H264</f>
        <v>0</v>
      </c>
      <c r="I316" s="130" t="n">
        <f aca="false">BACKUP!I264</f>
        <v>0</v>
      </c>
      <c r="J316" s="130" t="n">
        <f aca="false">BACKUP!J264</f>
        <v>0</v>
      </c>
      <c r="K316" s="130" t="n">
        <f aca="false">BACKUP!K264</f>
        <v>0</v>
      </c>
      <c r="L316" s="130" t="n">
        <f aca="false">BACKUP!L264</f>
        <v>0</v>
      </c>
      <c r="M316" s="130" t="n">
        <f aca="false">BACKUP!M264</f>
        <v>0</v>
      </c>
      <c r="N316" s="130" t="n">
        <f aca="false">BACKUP!N264</f>
        <v>0</v>
      </c>
      <c r="O316" s="130" t="n">
        <f aca="false">BACKUP!O264</f>
        <v>0</v>
      </c>
      <c r="P316" s="130" t="n">
        <f aca="false">SUM(D316:O316)</f>
        <v>0</v>
      </c>
      <c r="Q316" s="131" t="n">
        <f aca="false">SUM(D316:J316)</f>
        <v>0</v>
      </c>
      <c r="R316" s="130" t="n">
        <f aca="false">P316-Q316</f>
        <v>0</v>
      </c>
      <c r="S316" s="103"/>
      <c r="T316" s="131" t="n">
        <v>0</v>
      </c>
      <c r="U316" s="131" t="n">
        <v>0</v>
      </c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</row>
    <row r="317" customFormat="false" ht="12.75" hidden="false" customHeight="false" outlineLevel="0" collapsed="false">
      <c r="A317" s="130" t="str">
        <f aca="false">BACKUP!A265</f>
        <v>   Quarterly Actual vs. Flash Variance (Hyperion Adjust.)</v>
      </c>
      <c r="B317" s="103"/>
      <c r="C317" s="118" t="s">
        <v>592</v>
      </c>
      <c r="D317" s="130" t="n">
        <f aca="false">BACKUP!D265</f>
        <v>0</v>
      </c>
      <c r="E317" s="130" t="n">
        <f aca="false">BACKUP!E265</f>
        <v>0</v>
      </c>
      <c r="F317" s="130" t="n">
        <f aca="false">BACKUP!F265</f>
        <v>0</v>
      </c>
      <c r="G317" s="130" t="n">
        <f aca="false">BACKUP!G265</f>
        <v>0</v>
      </c>
      <c r="H317" s="130" t="n">
        <f aca="false">BACKUP!H265</f>
        <v>0</v>
      </c>
      <c r="I317" s="130" t="n">
        <f aca="false">BACKUP!I265</f>
        <v>0</v>
      </c>
      <c r="J317" s="130" t="n">
        <f aca="false">BACKUP!J265</f>
        <v>0</v>
      </c>
      <c r="K317" s="130" t="n">
        <f aca="false">BACKUP!K265</f>
        <v>0</v>
      </c>
      <c r="L317" s="130" t="n">
        <f aca="false">BACKUP!L265</f>
        <v>0</v>
      </c>
      <c r="M317" s="130" t="n">
        <f aca="false">BACKUP!M265</f>
        <v>0</v>
      </c>
      <c r="N317" s="130" t="n">
        <f aca="false">BACKUP!N265</f>
        <v>0</v>
      </c>
      <c r="O317" s="130" t="n">
        <f aca="false">BACKUP!O265</f>
        <v>0</v>
      </c>
      <c r="P317" s="130" t="n">
        <f aca="false">SUM(D317:O317)</f>
        <v>0</v>
      </c>
      <c r="Q317" s="131" t="n">
        <f aca="false">SUM(D317:J317)</f>
        <v>0</v>
      </c>
      <c r="R317" s="130" t="n">
        <f aca="false">P317-Q317</f>
        <v>0</v>
      </c>
      <c r="S317" s="103"/>
      <c r="T317" s="131" t="n">
        <v>0</v>
      </c>
      <c r="U317" s="131" t="n">
        <v>0</v>
      </c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</row>
    <row r="318" customFormat="false" ht="12.75" hidden="false" customHeight="false" outlineLevel="0" collapsed="false">
      <c r="A318" s="130" t="str">
        <f aca="false">BACKUP!A266</f>
        <v>   Actual / Estimate Adjustment</v>
      </c>
      <c r="B318" s="103"/>
      <c r="C318" s="118" t="s">
        <v>592</v>
      </c>
      <c r="D318" s="143" t="n">
        <f aca="false">BACKUP!D266</f>
        <v>0</v>
      </c>
      <c r="E318" s="143" t="n">
        <f aca="false">BACKUP!E266</f>
        <v>0</v>
      </c>
      <c r="F318" s="143" t="n">
        <f aca="false">BACKUP!F266</f>
        <v>0</v>
      </c>
      <c r="G318" s="143" t="n">
        <f aca="false">BACKUP!G266</f>
        <v>0</v>
      </c>
      <c r="H318" s="143" t="n">
        <f aca="false">BACKUP!H266</f>
        <v>0</v>
      </c>
      <c r="I318" s="143" t="n">
        <f aca="false">BACKUP!I266</f>
        <v>0</v>
      </c>
      <c r="J318" s="143" t="n">
        <f aca="false">BACKUP!J266</f>
        <v>0</v>
      </c>
      <c r="K318" s="143" t="n">
        <f aca="false">BACKUP!K266</f>
        <v>0</v>
      </c>
      <c r="L318" s="143" t="n">
        <f aca="false">BACKUP!L266</f>
        <v>0</v>
      </c>
      <c r="M318" s="143" t="n">
        <f aca="false">BACKUP!M266</f>
        <v>0</v>
      </c>
      <c r="N318" s="143" t="n">
        <f aca="false">BACKUP!N266</f>
        <v>0</v>
      </c>
      <c r="O318" s="143" t="n">
        <f aca="false">BACKUP!O266</f>
        <v>0</v>
      </c>
      <c r="P318" s="130" t="n">
        <f aca="false">SUM(D318:O318)</f>
        <v>0</v>
      </c>
      <c r="Q318" s="131" t="n">
        <f aca="false">SUM(D318:J318)</f>
        <v>0</v>
      </c>
      <c r="R318" s="130" t="n">
        <f aca="false">P318-Q318</f>
        <v>0</v>
      </c>
      <c r="S318" s="103"/>
      <c r="T318" s="131" t="n">
        <v>0</v>
      </c>
      <c r="U318" s="131" t="n">
        <v>0</v>
      </c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  <c r="AT318" s="103"/>
      <c r="AU318" s="103"/>
    </row>
    <row r="319" customFormat="false" ht="3.95" hidden="false" customHeight="true" outlineLevel="0" collapsed="false">
      <c r="A319" s="103"/>
      <c r="B319" s="103"/>
      <c r="C319" s="118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03"/>
      <c r="Q319" s="103"/>
      <c r="R319" s="103"/>
      <c r="S319" s="103"/>
      <c r="T319" s="130"/>
      <c r="U319" s="130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</row>
    <row r="320" customFormat="false" ht="12.75" hidden="false" customHeight="false" outlineLevel="0" collapsed="false">
      <c r="A320" s="155" t="str">
        <f aca="false">BACKUP!A268</f>
        <v>Deferred Charges - End. Balance</v>
      </c>
      <c r="B320" s="103"/>
      <c r="C320" s="118"/>
      <c r="D320" s="143" t="n">
        <f aca="false">BACKUP!D268</f>
        <v>8391</v>
      </c>
      <c r="E320" s="143" t="n">
        <f aca="false">BACKUP!E268</f>
        <v>10015</v>
      </c>
      <c r="F320" s="143" t="n">
        <f aca="false">BACKUP!F268</f>
        <v>9127</v>
      </c>
      <c r="G320" s="143" t="n">
        <f aca="false">BACKUP!G268</f>
        <v>9335</v>
      </c>
      <c r="H320" s="143" t="n">
        <f aca="false">BACKUP!H268</f>
        <v>9572</v>
      </c>
      <c r="I320" s="143" t="n">
        <f aca="false">BACKUP!I268</f>
        <v>10257</v>
      </c>
      <c r="J320" s="143" t="n">
        <f aca="false">BACKUP!J268</f>
        <v>10958</v>
      </c>
      <c r="K320" s="143" t="n">
        <f aca="false">BACKUP!K268</f>
        <v>10960</v>
      </c>
      <c r="L320" s="143" t="n">
        <f aca="false">BACKUP!L268</f>
        <v>10959</v>
      </c>
      <c r="M320" s="143" t="n">
        <f aca="false">BACKUP!M268</f>
        <v>10960</v>
      </c>
      <c r="N320" s="143" t="n">
        <f aca="false">BACKUP!N268</f>
        <v>10889</v>
      </c>
      <c r="O320" s="143" t="n">
        <f aca="false">BACKUP!O268</f>
        <v>10121</v>
      </c>
      <c r="P320" s="103"/>
      <c r="Q320" s="103"/>
      <c r="R320" s="103"/>
      <c r="S320" s="103"/>
      <c r="T320" s="130"/>
      <c r="U320" s="130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  <c r="AT320" s="103"/>
      <c r="AU320" s="103"/>
    </row>
    <row r="321" customFormat="false" ht="12.75" hidden="false" customHeight="false" outlineLevel="0" collapsed="false">
      <c r="A321" s="103"/>
      <c r="B321" s="103"/>
      <c r="C321" s="118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30"/>
      <c r="U321" s="130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</row>
    <row r="322" customFormat="false" ht="12.75" hidden="false" customHeight="false" outlineLevel="0" collapsed="false">
      <c r="A322" s="198" t="s">
        <v>602</v>
      </c>
      <c r="B322" s="103"/>
      <c r="C322" s="118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  <c r="O322" s="143"/>
      <c r="P322" s="103"/>
      <c r="Q322" s="103"/>
      <c r="R322" s="103"/>
      <c r="S322" s="103"/>
      <c r="T322" s="103"/>
      <c r="U322" s="130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</row>
    <row r="323" customFormat="false" ht="12.75" hidden="false" customHeight="false" outlineLevel="0" collapsed="false">
      <c r="A323" s="130" t="str">
        <f aca="false">BACKUP!A402</f>
        <v>   Reserves (Mapped to FF) - Standby Parts Gain Deferral</v>
      </c>
      <c r="B323" s="103"/>
      <c r="C323" s="118"/>
      <c r="D323" s="130" t="n">
        <f aca="false">BACKUP!D402</f>
        <v>0</v>
      </c>
      <c r="E323" s="130" t="n">
        <f aca="false">BACKUP!E402</f>
        <v>0</v>
      </c>
      <c r="F323" s="130" t="n">
        <f aca="false">BACKUP!F402</f>
        <v>0</v>
      </c>
      <c r="G323" s="130" t="n">
        <f aca="false">BACKUP!G402</f>
        <v>0</v>
      </c>
      <c r="H323" s="130" t="n">
        <f aca="false">BACKUP!H402</f>
        <v>0</v>
      </c>
      <c r="I323" s="130" t="n">
        <f aca="false">BACKUP!I402</f>
        <v>0</v>
      </c>
      <c r="J323" s="130" t="n">
        <f aca="false">BACKUP!J402</f>
        <v>-155</v>
      </c>
      <c r="K323" s="130" t="n">
        <f aca="false">BACKUP!K402</f>
        <v>-135</v>
      </c>
      <c r="L323" s="130" t="n">
        <f aca="false">BACKUP!L402</f>
        <v>-200</v>
      </c>
      <c r="M323" s="130" t="n">
        <f aca="false">BACKUP!M402</f>
        <v>-227</v>
      </c>
      <c r="N323" s="130" t="n">
        <f aca="false">BACKUP!N402</f>
        <v>-137</v>
      </c>
      <c r="O323" s="130" t="n">
        <f aca="false">BACKUP!O402</f>
        <v>-138</v>
      </c>
      <c r="P323" s="130" t="n">
        <f aca="false">SUM(D323:O323)</f>
        <v>-992</v>
      </c>
      <c r="Q323" s="131" t="n">
        <f aca="false">SUM(D323:J323)</f>
        <v>-155</v>
      </c>
      <c r="R323" s="130" t="n">
        <f aca="false">P323-Q323</f>
        <v>-837</v>
      </c>
      <c r="S323" s="103"/>
      <c r="T323" s="103"/>
      <c r="U323" s="130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</row>
    <row r="324" customFormat="false" ht="12.75" hidden="false" customHeight="false" outlineLevel="0" collapsed="false">
      <c r="A324" s="130" t="str">
        <f aca="false">BACKUP!A403</f>
        <v>        - Rate Case Refund Reserve </v>
      </c>
      <c r="B324" s="103"/>
      <c r="C324" s="118"/>
      <c r="D324" s="130" t="n">
        <f aca="false">BACKUP!D403</f>
        <v>0</v>
      </c>
      <c r="E324" s="130" t="n">
        <f aca="false">BACKUP!E403</f>
        <v>0</v>
      </c>
      <c r="F324" s="130" t="n">
        <f aca="false">BACKUP!F403</f>
        <v>0</v>
      </c>
      <c r="G324" s="130" t="n">
        <f aca="false">BACKUP!G403</f>
        <v>0</v>
      </c>
      <c r="H324" s="130" t="n">
        <f aca="false">BACKUP!H403</f>
        <v>0</v>
      </c>
      <c r="I324" s="130" t="n">
        <f aca="false">BACKUP!I403</f>
        <v>0</v>
      </c>
      <c r="J324" s="130" t="n">
        <f aca="false">BACKUP!J403</f>
        <v>0</v>
      </c>
      <c r="K324" s="130" t="n">
        <f aca="false">BACKUP!K403</f>
        <v>0</v>
      </c>
      <c r="L324" s="130" t="n">
        <f aca="false">BACKUP!L403</f>
        <v>0</v>
      </c>
      <c r="M324" s="130" t="n">
        <f aca="false">BACKUP!M403</f>
        <v>0</v>
      </c>
      <c r="N324" s="130" t="n">
        <f aca="false">BACKUP!N403</f>
        <v>0</v>
      </c>
      <c r="O324" s="130" t="n">
        <f aca="false">BACKUP!O403</f>
        <v>0</v>
      </c>
      <c r="P324" s="130" t="n">
        <f aca="false">SUM(D324:O324)</f>
        <v>0</v>
      </c>
      <c r="Q324" s="131" t="n">
        <f aca="false">SUM(D324:J324)</f>
        <v>0</v>
      </c>
      <c r="R324" s="130" t="n">
        <f aca="false">P324-Q324</f>
        <v>0</v>
      </c>
      <c r="S324" s="103"/>
      <c r="T324" s="103"/>
      <c r="U324" s="130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  <c r="AT324" s="103"/>
      <c r="AU324" s="103"/>
    </row>
    <row r="325" customFormat="false" ht="12.75" hidden="false" customHeight="false" outlineLevel="0" collapsed="false">
      <c r="A325" s="130" t="str">
        <f aca="false">BACKUP!A404</f>
        <v>        - Transport</v>
      </c>
      <c r="B325" s="103"/>
      <c r="C325" s="118"/>
      <c r="D325" s="130" t="n">
        <f aca="false">BACKUP!D404</f>
        <v>517</v>
      </c>
      <c r="E325" s="130" t="n">
        <f aca="false">BACKUP!E404</f>
        <v>815</v>
      </c>
      <c r="F325" s="130" t="n">
        <f aca="false">BACKUP!F404</f>
        <v>369</v>
      </c>
      <c r="G325" s="130" t="n">
        <f aca="false">BACKUP!G404</f>
        <v>-176</v>
      </c>
      <c r="H325" s="130" t="n">
        <f aca="false">BACKUP!H404</f>
        <v>100</v>
      </c>
      <c r="I325" s="130" t="n">
        <f aca="false">BACKUP!I404</f>
        <v>-393</v>
      </c>
      <c r="J325" s="130" t="n">
        <f aca="false">BACKUP!J404</f>
        <v>-247</v>
      </c>
      <c r="K325" s="130" t="n">
        <f aca="false">BACKUP!K404</f>
        <v>0</v>
      </c>
      <c r="L325" s="130" t="n">
        <f aca="false">BACKUP!L404</f>
        <v>0</v>
      </c>
      <c r="M325" s="130" t="n">
        <f aca="false">BACKUP!M404</f>
        <v>0</v>
      </c>
      <c r="N325" s="130" t="n">
        <f aca="false">BACKUP!N404</f>
        <v>0</v>
      </c>
      <c r="O325" s="130" t="n">
        <f aca="false">BACKUP!O404</f>
        <v>0</v>
      </c>
      <c r="P325" s="130" t="n">
        <f aca="false">SUM(D325:O325)</f>
        <v>985</v>
      </c>
      <c r="Q325" s="131" t="n">
        <f aca="false">SUM(D325:J325)</f>
        <v>985</v>
      </c>
      <c r="R325" s="130" t="n">
        <f aca="false">P325-Q325</f>
        <v>0</v>
      </c>
      <c r="S325" s="103"/>
      <c r="T325" s="103"/>
      <c r="U325" s="130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</row>
    <row r="326" customFormat="false" ht="12.75" hidden="false" customHeight="false" outlineLevel="0" collapsed="false">
      <c r="A326" s="130" t="str">
        <f aca="false">BACKUP!A405</f>
        <v>        - Gas Contract Litigation</v>
      </c>
      <c r="B326" s="103"/>
      <c r="C326" s="118"/>
      <c r="D326" s="130" t="n">
        <f aca="false">BACKUP!D405</f>
        <v>0</v>
      </c>
      <c r="E326" s="130" t="n">
        <f aca="false">BACKUP!E405</f>
        <v>0</v>
      </c>
      <c r="F326" s="130" t="n">
        <f aca="false">BACKUP!F405</f>
        <v>0</v>
      </c>
      <c r="G326" s="130" t="n">
        <f aca="false">BACKUP!G405</f>
        <v>0</v>
      </c>
      <c r="H326" s="130" t="n">
        <f aca="false">BACKUP!H405</f>
        <v>0</v>
      </c>
      <c r="I326" s="130" t="n">
        <f aca="false">BACKUP!I405</f>
        <v>0</v>
      </c>
      <c r="J326" s="130" t="n">
        <f aca="false">BACKUP!J405</f>
        <v>0</v>
      </c>
      <c r="K326" s="130" t="n">
        <f aca="false">BACKUP!K405</f>
        <v>0</v>
      </c>
      <c r="L326" s="130" t="n">
        <f aca="false">BACKUP!L405</f>
        <v>0</v>
      </c>
      <c r="M326" s="130" t="n">
        <f aca="false">BACKUP!M405</f>
        <v>0</v>
      </c>
      <c r="N326" s="130" t="n">
        <f aca="false">BACKUP!N405</f>
        <v>0</v>
      </c>
      <c r="O326" s="130" t="n">
        <f aca="false">BACKUP!O405</f>
        <v>0</v>
      </c>
      <c r="P326" s="130" t="n">
        <f aca="false">SUM(D326:O326)</f>
        <v>0</v>
      </c>
      <c r="Q326" s="131" t="n">
        <f aca="false">SUM(D326:J326)</f>
        <v>0</v>
      </c>
      <c r="R326" s="130" t="n">
        <f aca="false">P326-Q326</f>
        <v>0</v>
      </c>
      <c r="S326" s="103"/>
      <c r="T326" s="103"/>
      <c r="U326" s="130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</row>
    <row r="327" customFormat="false" ht="12.75" hidden="false" customHeight="false" outlineLevel="0" collapsed="false">
      <c r="A327" s="130" t="str">
        <f aca="false">BACKUP!A406</f>
        <v>        - Misc.(Def.Interest/Ferraro/Penalty/Def.Well/Other)</v>
      </c>
      <c r="B327" s="103"/>
      <c r="C327" s="118"/>
      <c r="D327" s="130" t="n">
        <f aca="false">BACKUP!D406</f>
        <v>7</v>
      </c>
      <c r="E327" s="130" t="n">
        <f aca="false">BACKUP!E406</f>
        <v>0</v>
      </c>
      <c r="F327" s="130" t="n">
        <f aca="false">BACKUP!F406</f>
        <v>-20</v>
      </c>
      <c r="G327" s="130" t="n">
        <f aca="false">BACKUP!G406</f>
        <v>57</v>
      </c>
      <c r="H327" s="130" t="n">
        <f aca="false">BACKUP!H406</f>
        <v>146</v>
      </c>
      <c r="I327" s="130" t="n">
        <f aca="false">BACKUP!I406</f>
        <v>-90</v>
      </c>
      <c r="J327" s="130" t="n">
        <f aca="false">BACKUP!J406</f>
        <v>-68</v>
      </c>
      <c r="K327" s="130" t="n">
        <f aca="false">BACKUP!K406</f>
        <v>0</v>
      </c>
      <c r="L327" s="130" t="n">
        <f aca="false">BACKUP!L406</f>
        <v>0</v>
      </c>
      <c r="M327" s="130" t="n">
        <f aca="false">BACKUP!M406</f>
        <v>0</v>
      </c>
      <c r="N327" s="130" t="n">
        <f aca="false">BACKUP!N406</f>
        <v>0</v>
      </c>
      <c r="O327" s="130" t="n">
        <f aca="false">BACKUP!O406</f>
        <v>0</v>
      </c>
      <c r="P327" s="130" t="n">
        <f aca="false">SUM(D327:O327)</f>
        <v>32</v>
      </c>
      <c r="Q327" s="131" t="n">
        <f aca="false">SUM(D327:J327)</f>
        <v>32</v>
      </c>
      <c r="R327" s="130" t="n">
        <f aca="false">P327-Q327</f>
        <v>0</v>
      </c>
      <c r="S327" s="103"/>
      <c r="T327" s="103"/>
      <c r="U327" s="130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  <c r="AT327" s="103"/>
      <c r="AU327" s="103"/>
    </row>
    <row r="328" customFormat="false" ht="12.75" hidden="false" customHeight="false" outlineLevel="0" collapsed="false">
      <c r="A328" s="130" t="str">
        <f aca="false">BACKUP!A407</f>
        <v>        - Coyanosa </v>
      </c>
      <c r="B328" s="103"/>
      <c r="C328" s="118"/>
      <c r="D328" s="143" t="n">
        <f aca="false">BACKUP!D407</f>
        <v>0</v>
      </c>
      <c r="E328" s="143" t="n">
        <f aca="false">BACKUP!E407</f>
        <v>0</v>
      </c>
      <c r="F328" s="143" t="n">
        <f aca="false">BACKUP!F407</f>
        <v>0</v>
      </c>
      <c r="G328" s="143" t="n">
        <f aca="false">BACKUP!G407</f>
        <v>0</v>
      </c>
      <c r="H328" s="143" t="n">
        <f aca="false">BACKUP!H407</f>
        <v>0</v>
      </c>
      <c r="I328" s="143" t="n">
        <f aca="false">BACKUP!I407</f>
        <v>0</v>
      </c>
      <c r="J328" s="143" t="n">
        <f aca="false">BACKUP!J407</f>
        <v>0</v>
      </c>
      <c r="K328" s="143" t="n">
        <f aca="false">BACKUP!K407</f>
        <v>0</v>
      </c>
      <c r="L328" s="143" t="n">
        <f aca="false">BACKUP!L407</f>
        <v>0</v>
      </c>
      <c r="M328" s="143" t="n">
        <f aca="false">BACKUP!M407</f>
        <v>0</v>
      </c>
      <c r="N328" s="143" t="n">
        <f aca="false">BACKUP!N407</f>
        <v>0</v>
      </c>
      <c r="O328" s="143" t="n">
        <f aca="false">BACKUP!O407</f>
        <v>0</v>
      </c>
      <c r="P328" s="143" t="n">
        <f aca="false">SUM(D328:O328)</f>
        <v>0</v>
      </c>
      <c r="Q328" s="140" t="n">
        <f aca="false">SUM(D328:J328)</f>
        <v>0</v>
      </c>
      <c r="R328" s="143" t="n">
        <f aca="false">P328-Q328</f>
        <v>0</v>
      </c>
      <c r="S328" s="103"/>
      <c r="T328" s="103"/>
      <c r="U328" s="130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  <c r="AT328" s="103"/>
      <c r="AU328" s="103"/>
    </row>
    <row r="329" customFormat="false" ht="3.95" hidden="false" customHeight="true" outlineLevel="0" collapsed="false">
      <c r="A329" s="130"/>
      <c r="B329" s="103"/>
      <c r="C329" s="118"/>
      <c r="D329" s="143"/>
      <c r="E329" s="143"/>
      <c r="F329" s="143"/>
      <c r="G329" s="143"/>
      <c r="H329" s="143"/>
      <c r="I329" s="143"/>
      <c r="J329" s="143"/>
      <c r="K329" s="143"/>
      <c r="L329" s="143"/>
      <c r="M329" s="143"/>
      <c r="N329" s="143"/>
      <c r="O329" s="143"/>
      <c r="P329" s="103"/>
      <c r="Q329" s="103"/>
      <c r="R329" s="103"/>
      <c r="S329" s="103"/>
      <c r="T329" s="103"/>
      <c r="U329" s="130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</row>
    <row r="330" customFormat="false" ht="12.75" hidden="false" customHeight="false" outlineLevel="0" collapsed="false">
      <c r="A330" s="198" t="s">
        <v>581</v>
      </c>
      <c r="B330" s="103"/>
      <c r="C330" s="118" t="s">
        <v>592</v>
      </c>
      <c r="D330" s="143" t="n">
        <f aca="false">SUM(D323:D328)</f>
        <v>524</v>
      </c>
      <c r="E330" s="143" t="n">
        <f aca="false">SUM(E323:E328)</f>
        <v>815</v>
      </c>
      <c r="F330" s="143" t="n">
        <f aca="false">SUM(F323:F328)</f>
        <v>349</v>
      </c>
      <c r="G330" s="143" t="n">
        <f aca="false">SUM(G323:G328)</f>
        <v>-119</v>
      </c>
      <c r="H330" s="143" t="n">
        <f aca="false">SUM(H323:H328)</f>
        <v>246</v>
      </c>
      <c r="I330" s="143" t="n">
        <f aca="false">SUM(I323:I328)</f>
        <v>-483</v>
      </c>
      <c r="J330" s="143" t="n">
        <f aca="false">SUM(J323:J328)</f>
        <v>-470</v>
      </c>
      <c r="K330" s="143" t="n">
        <f aca="false">SUM(K323:K328)</f>
        <v>-135</v>
      </c>
      <c r="L330" s="143" t="n">
        <f aca="false">SUM(L323:L328)</f>
        <v>-200</v>
      </c>
      <c r="M330" s="143" t="n">
        <f aca="false">SUM(M323:M328)</f>
        <v>-227</v>
      </c>
      <c r="N330" s="143" t="n">
        <f aca="false">SUM(N323:N328)</f>
        <v>-137</v>
      </c>
      <c r="O330" s="143" t="n">
        <f aca="false">SUM(O323:O328)</f>
        <v>-138</v>
      </c>
      <c r="P330" s="143" t="n">
        <f aca="false">SUM(P323:P328)</f>
        <v>25</v>
      </c>
      <c r="Q330" s="143" t="n">
        <f aca="false">SUM(Q323:Q328)</f>
        <v>862</v>
      </c>
      <c r="R330" s="143" t="n">
        <f aca="false">SUM(R323:R328)</f>
        <v>-837</v>
      </c>
      <c r="S330" s="103"/>
      <c r="T330" s="103"/>
      <c r="U330" s="130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  <c r="AT330" s="103"/>
      <c r="AU330" s="103"/>
    </row>
    <row r="331" customFormat="false" ht="12.75" hidden="false" customHeight="false" outlineLevel="0" collapsed="false">
      <c r="A331" s="103"/>
      <c r="B331" s="103"/>
      <c r="C331" s="118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30"/>
      <c r="U331" s="130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</row>
    <row r="332" customFormat="false" ht="12.75" hidden="false" customHeight="false" outlineLevel="0" collapsed="false">
      <c r="A332" s="155" t="str">
        <f aca="false">BACKUP!A440</f>
        <v>Other Deferred Credits - Beg. Balance</v>
      </c>
      <c r="B332" s="103"/>
      <c r="C332" s="118"/>
      <c r="D332" s="130" t="n">
        <f aca="false">BACKUP!D440</f>
        <v>1829</v>
      </c>
      <c r="E332" s="130" t="n">
        <f aca="false">BACKUP!E440</f>
        <v>1828</v>
      </c>
      <c r="F332" s="130" t="n">
        <f aca="false">BACKUP!F440</f>
        <v>1828</v>
      </c>
      <c r="G332" s="130" t="n">
        <f aca="false">BACKUP!G440</f>
        <v>1830</v>
      </c>
      <c r="H332" s="130" t="n">
        <f aca="false">BACKUP!H440</f>
        <v>1825</v>
      </c>
      <c r="I332" s="130" t="n">
        <f aca="false">BACKUP!I440</f>
        <v>1827</v>
      </c>
      <c r="J332" s="130" t="n">
        <f aca="false">BACKUP!J440</f>
        <v>1830</v>
      </c>
      <c r="K332" s="130" t="n">
        <f aca="false">BACKUP!K440</f>
        <v>1830</v>
      </c>
      <c r="L332" s="130" t="n">
        <f aca="false">BACKUP!L440</f>
        <v>1830</v>
      </c>
      <c r="M332" s="130" t="n">
        <f aca="false">BACKUP!M440</f>
        <v>1830</v>
      </c>
      <c r="N332" s="130" t="n">
        <f aca="false">BACKUP!N440</f>
        <v>1918</v>
      </c>
      <c r="O332" s="130" t="n">
        <f aca="false">BACKUP!O440</f>
        <v>1918</v>
      </c>
      <c r="P332" s="130"/>
      <c r="Q332" s="130"/>
      <c r="R332" s="130"/>
      <c r="S332" s="103"/>
      <c r="T332" s="130"/>
      <c r="U332" s="130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  <c r="AS332" s="103"/>
      <c r="AT332" s="103"/>
      <c r="AU332" s="103"/>
    </row>
    <row r="333" customFormat="false" ht="12.75" hidden="false" customHeight="false" outlineLevel="0" collapsed="false">
      <c r="A333" s="130" t="str">
        <f aca="false">BACKUP!A441</f>
        <v>   Unamortized Gain on Reacquired Debt</v>
      </c>
      <c r="B333" s="103"/>
      <c r="C333" s="118" t="s">
        <v>592</v>
      </c>
      <c r="D333" s="130" t="n">
        <f aca="false">BACKUP!D441</f>
        <v>-1</v>
      </c>
      <c r="E333" s="130" t="n">
        <f aca="false">BACKUP!E441</f>
        <v>-0</v>
      </c>
      <c r="F333" s="130" t="n">
        <f aca="false">BACKUP!F441</f>
        <v>-1</v>
      </c>
      <c r="G333" s="130" t="n">
        <f aca="false">BACKUP!G441</f>
        <v>-0</v>
      </c>
      <c r="H333" s="130" t="n">
        <f aca="false">BACKUP!H441</f>
        <v>-1</v>
      </c>
      <c r="I333" s="130" t="n">
        <f aca="false">BACKUP!I441</f>
        <v>-1</v>
      </c>
      <c r="J333" s="130" t="n">
        <f aca="false">BACKUP!J441</f>
        <v>-0</v>
      </c>
      <c r="K333" s="130" t="n">
        <f aca="false">BACKUP!K441</f>
        <v>-1</v>
      </c>
      <c r="L333" s="130" t="n">
        <f aca="false">BACKUP!L441</f>
        <v>-0</v>
      </c>
      <c r="M333" s="130" t="n">
        <f aca="false">BACKUP!M441</f>
        <v>-1</v>
      </c>
      <c r="N333" s="130" t="n">
        <f aca="false">BACKUP!N441</f>
        <v>-0</v>
      </c>
      <c r="O333" s="130" t="n">
        <f aca="false">BACKUP!O441</f>
        <v>-1</v>
      </c>
      <c r="P333" s="130" t="n">
        <f aca="false">SUM(D333:O333)</f>
        <v>-7</v>
      </c>
      <c r="Q333" s="131" t="n">
        <f aca="false">SUM(D333:J333)</f>
        <v>-4</v>
      </c>
      <c r="R333" s="130" t="n">
        <f aca="false">P333-Q333</f>
        <v>-3</v>
      </c>
      <c r="S333" s="103"/>
      <c r="T333" s="131" t="n">
        <v>0</v>
      </c>
      <c r="U333" s="131" t="n">
        <v>0</v>
      </c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  <c r="AS333" s="103"/>
      <c r="AT333" s="103"/>
      <c r="AU333" s="103"/>
    </row>
    <row r="334" customFormat="false" ht="12.75" hidden="false" customHeight="false" outlineLevel="0" collapsed="false">
      <c r="A334" s="130" t="str">
        <f aca="false">BACKUP!A442</f>
        <v>   Reverse Auction 1 (Incl. 10% Supply)</v>
      </c>
      <c r="B334" s="103"/>
      <c r="C334" s="118" t="s">
        <v>592</v>
      </c>
      <c r="D334" s="130" t="n">
        <f aca="false">BACKUP!D442</f>
        <v>0</v>
      </c>
      <c r="E334" s="130" t="n">
        <f aca="false">BACKUP!E442</f>
        <v>0</v>
      </c>
      <c r="F334" s="130" t="n">
        <f aca="false">BACKUP!F442</f>
        <v>0</v>
      </c>
      <c r="G334" s="130" t="n">
        <f aca="false">BACKUP!G442</f>
        <v>0</v>
      </c>
      <c r="H334" s="130" t="n">
        <f aca="false">BACKUP!H442</f>
        <v>0</v>
      </c>
      <c r="I334" s="130" t="n">
        <f aca="false">BACKUP!I442</f>
        <v>0</v>
      </c>
      <c r="J334" s="130" t="n">
        <f aca="false">BACKUP!J442</f>
        <v>0</v>
      </c>
      <c r="K334" s="130" t="n">
        <f aca="false">BACKUP!K442</f>
        <v>0</v>
      </c>
      <c r="L334" s="130" t="n">
        <f aca="false">BACKUP!L442</f>
        <v>0</v>
      </c>
      <c r="M334" s="130" t="n">
        <f aca="false">BACKUP!M442</f>
        <v>0</v>
      </c>
      <c r="N334" s="130" t="n">
        <f aca="false">BACKUP!N442</f>
        <v>0</v>
      </c>
      <c r="O334" s="130" t="n">
        <f aca="false">BACKUP!O442</f>
        <v>0</v>
      </c>
      <c r="P334" s="130" t="n">
        <f aca="false">SUM(D334:O334)</f>
        <v>0</v>
      </c>
      <c r="Q334" s="131" t="n">
        <f aca="false">SUM(D334:J334)</f>
        <v>0</v>
      </c>
      <c r="R334" s="130" t="n">
        <f aca="false">P334-Q334</f>
        <v>0</v>
      </c>
      <c r="S334" s="103"/>
      <c r="T334" s="131" t="n">
        <v>0</v>
      </c>
      <c r="U334" s="131" t="n">
        <v>0</v>
      </c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</row>
    <row r="335" customFormat="false" ht="12.75" hidden="false" customHeight="false" outlineLevel="0" collapsed="false">
      <c r="A335" s="130" t="str">
        <f aca="false">BACKUP!A443</f>
        <v>   Reverse Auction 2 </v>
      </c>
      <c r="B335" s="103"/>
      <c r="C335" s="118" t="s">
        <v>592</v>
      </c>
      <c r="D335" s="130" t="n">
        <f aca="false">BACKUP!D443</f>
        <v>-0</v>
      </c>
      <c r="E335" s="130" t="n">
        <f aca="false">BACKUP!E443</f>
        <v>-0</v>
      </c>
      <c r="F335" s="130" t="n">
        <f aca="false">BACKUP!F443</f>
        <v>-0</v>
      </c>
      <c r="G335" s="130" t="n">
        <f aca="false">BACKUP!G443</f>
        <v>-0</v>
      </c>
      <c r="H335" s="130" t="n">
        <f aca="false">BACKUP!H443</f>
        <v>-0</v>
      </c>
      <c r="I335" s="130" t="n">
        <f aca="false">BACKUP!I443</f>
        <v>-0</v>
      </c>
      <c r="J335" s="130" t="n">
        <f aca="false">BACKUP!J443</f>
        <v>-0</v>
      </c>
      <c r="K335" s="130" t="n">
        <f aca="false">BACKUP!K443</f>
        <v>-0</v>
      </c>
      <c r="L335" s="130" t="n">
        <f aca="false">BACKUP!L443</f>
        <v>-0</v>
      </c>
      <c r="M335" s="130" t="n">
        <f aca="false">BACKUP!M443</f>
        <v>89</v>
      </c>
      <c r="N335" s="130" t="n">
        <f aca="false">BACKUP!N443</f>
        <v>-0</v>
      </c>
      <c r="O335" s="130" t="n">
        <f aca="false">BACKUP!O443</f>
        <v>-985</v>
      </c>
      <c r="P335" s="130" t="n">
        <f aca="false">SUM(D335:O335)</f>
        <v>-896</v>
      </c>
      <c r="Q335" s="131" t="n">
        <f aca="false">SUM(D335:J335)</f>
        <v>0</v>
      </c>
      <c r="R335" s="130" t="n">
        <f aca="false">P335-Q335</f>
        <v>-896</v>
      </c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  <c r="AT335" s="103"/>
      <c r="AU335" s="103"/>
    </row>
    <row r="336" customFormat="false" ht="12.75" hidden="false" customHeight="false" outlineLevel="0" collapsed="false">
      <c r="A336" s="130" t="str">
        <f aca="false">BACKUP!A444</f>
        <v>   Other</v>
      </c>
      <c r="B336" s="103"/>
      <c r="C336" s="118" t="s">
        <v>592</v>
      </c>
      <c r="D336" s="130" t="n">
        <f aca="false">BACKUP!D444</f>
        <v>0</v>
      </c>
      <c r="E336" s="130" t="n">
        <f aca="false">BACKUP!E444</f>
        <v>0</v>
      </c>
      <c r="F336" s="130" t="n">
        <f aca="false">BACKUP!F444</f>
        <v>0</v>
      </c>
      <c r="G336" s="130" t="n">
        <f aca="false">BACKUP!G444</f>
        <v>0</v>
      </c>
      <c r="H336" s="130" t="n">
        <f aca="false">BACKUP!H444</f>
        <v>0</v>
      </c>
      <c r="I336" s="130" t="n">
        <f aca="false">BACKUP!I444</f>
        <v>0</v>
      </c>
      <c r="J336" s="130" t="n">
        <f aca="false">BACKUP!J444</f>
        <v>0</v>
      </c>
      <c r="K336" s="130" t="n">
        <f aca="false">BACKUP!K444</f>
        <v>0</v>
      </c>
      <c r="L336" s="130" t="n">
        <f aca="false">BACKUP!L444</f>
        <v>0</v>
      </c>
      <c r="M336" s="130" t="n">
        <f aca="false">BACKUP!M444</f>
        <v>0</v>
      </c>
      <c r="N336" s="130" t="n">
        <f aca="false">BACKUP!N444</f>
        <v>0</v>
      </c>
      <c r="O336" s="130" t="n">
        <f aca="false">BACKUP!O444</f>
        <v>0</v>
      </c>
      <c r="P336" s="130" t="n">
        <f aca="false">SUM(D336:O336)</f>
        <v>0</v>
      </c>
      <c r="Q336" s="131" t="n">
        <f aca="false">SUM(D336:J336)</f>
        <v>0</v>
      </c>
      <c r="R336" s="130" t="n">
        <f aca="false">P336-Q336</f>
        <v>0</v>
      </c>
      <c r="S336" s="103"/>
      <c r="T336" s="131" t="n">
        <v>0</v>
      </c>
      <c r="U336" s="131" t="n">
        <v>0</v>
      </c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  <c r="AT336" s="103"/>
      <c r="AU336" s="103"/>
    </row>
    <row r="337" customFormat="false" ht="12.75" hidden="false" customHeight="false" outlineLevel="0" collapsed="false">
      <c r="A337" s="130" t="str">
        <f aca="false">BACKUP!A445</f>
        <v>   Other</v>
      </c>
      <c r="B337" s="103"/>
      <c r="C337" s="118" t="s">
        <v>592</v>
      </c>
      <c r="D337" s="130" t="n">
        <f aca="false">BACKUP!D445</f>
        <v>0</v>
      </c>
      <c r="E337" s="130" t="n">
        <f aca="false">BACKUP!E445</f>
        <v>0</v>
      </c>
      <c r="F337" s="130" t="n">
        <f aca="false">BACKUP!F445</f>
        <v>0</v>
      </c>
      <c r="G337" s="130" t="n">
        <f aca="false">BACKUP!G445</f>
        <v>0</v>
      </c>
      <c r="H337" s="130" t="n">
        <f aca="false">BACKUP!H445</f>
        <v>0</v>
      </c>
      <c r="I337" s="130" t="n">
        <f aca="false">BACKUP!I445</f>
        <v>0</v>
      </c>
      <c r="J337" s="130" t="n">
        <f aca="false">BACKUP!J445</f>
        <v>0</v>
      </c>
      <c r="K337" s="130" t="n">
        <f aca="false">BACKUP!K445</f>
        <v>0</v>
      </c>
      <c r="L337" s="130" t="n">
        <f aca="false">BACKUP!L445</f>
        <v>0</v>
      </c>
      <c r="M337" s="130" t="n">
        <f aca="false">BACKUP!M445</f>
        <v>0</v>
      </c>
      <c r="N337" s="130" t="n">
        <f aca="false">BACKUP!N445</f>
        <v>0</v>
      </c>
      <c r="O337" s="130" t="n">
        <f aca="false">BACKUP!O445</f>
        <v>0</v>
      </c>
      <c r="P337" s="130" t="n">
        <f aca="false">SUM(D337:O337)</f>
        <v>0</v>
      </c>
      <c r="Q337" s="131" t="n">
        <f aca="false">SUM(D337:J337)</f>
        <v>0</v>
      </c>
      <c r="R337" s="130" t="n">
        <f aca="false">P337-Q337</f>
        <v>0</v>
      </c>
      <c r="S337" s="103"/>
      <c r="T337" s="131"/>
      <c r="U337" s="131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  <c r="AT337" s="103"/>
      <c r="AU337" s="103"/>
    </row>
    <row r="338" customFormat="false" ht="12.75" hidden="false" customHeight="false" outlineLevel="0" collapsed="false">
      <c r="A338" s="130" t="str">
        <f aca="false">BACKUP!A446</f>
        <v>   Actual / Estimate Adjustment </v>
      </c>
      <c r="B338" s="103"/>
      <c r="C338" s="118" t="s">
        <v>592</v>
      </c>
      <c r="D338" s="143" t="n">
        <f aca="false">BACKUP!D446</f>
        <v>0</v>
      </c>
      <c r="E338" s="143" t="n">
        <f aca="false">BACKUP!E446</f>
        <v>0</v>
      </c>
      <c r="F338" s="143" t="n">
        <f aca="false">BACKUP!F446</f>
        <v>3</v>
      </c>
      <c r="G338" s="143" t="n">
        <f aca="false">BACKUP!G446</f>
        <v>-5</v>
      </c>
      <c r="H338" s="143" t="n">
        <f aca="false">BACKUP!H446</f>
        <v>3</v>
      </c>
      <c r="I338" s="143" t="n">
        <f aca="false">BACKUP!I446</f>
        <v>4</v>
      </c>
      <c r="J338" s="143" t="n">
        <f aca="false">BACKUP!J446</f>
        <v>0</v>
      </c>
      <c r="K338" s="143" t="n">
        <f aca="false">BACKUP!K446</f>
        <v>1</v>
      </c>
      <c r="L338" s="143" t="n">
        <f aca="false">BACKUP!L446</f>
        <v>0</v>
      </c>
      <c r="M338" s="143" t="n">
        <f aca="false">BACKUP!M446</f>
        <v>0</v>
      </c>
      <c r="N338" s="143" t="n">
        <f aca="false">BACKUP!N446</f>
        <v>0</v>
      </c>
      <c r="O338" s="143" t="n">
        <f aca="false">BACKUP!O446</f>
        <v>0</v>
      </c>
      <c r="P338" s="130" t="n">
        <f aca="false">SUM(D338:O338)</f>
        <v>6</v>
      </c>
      <c r="Q338" s="131" t="n">
        <f aca="false">SUM(D338:J338)</f>
        <v>5</v>
      </c>
      <c r="R338" s="130" t="n">
        <f aca="false">P338-Q338</f>
        <v>1</v>
      </c>
      <c r="S338" s="103"/>
      <c r="T338" s="131"/>
      <c r="U338" s="131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  <c r="AT338" s="103"/>
      <c r="AU338" s="103"/>
    </row>
    <row r="339" customFormat="false" ht="3.95" hidden="false" customHeight="true" outlineLevel="0" collapsed="false">
      <c r="A339" s="103"/>
      <c r="B339" s="103"/>
      <c r="C339" s="118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03"/>
      <c r="Q339" s="103"/>
      <c r="R339" s="103"/>
      <c r="S339" s="103"/>
      <c r="T339" s="103"/>
      <c r="U339" s="130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</row>
    <row r="340" customFormat="false" ht="12.75" hidden="false" customHeight="false" outlineLevel="0" collapsed="false">
      <c r="A340" s="155" t="str">
        <f aca="false">BACKUP!A448</f>
        <v>Other Deferred Credits - End. Balance</v>
      </c>
      <c r="B340" s="103"/>
      <c r="C340" s="118"/>
      <c r="D340" s="143" t="n">
        <f aca="false">BACKUP!D448</f>
        <v>1828</v>
      </c>
      <c r="E340" s="143" t="n">
        <f aca="false">BACKUP!E448</f>
        <v>1828</v>
      </c>
      <c r="F340" s="143" t="n">
        <f aca="false">BACKUP!F448</f>
        <v>1830</v>
      </c>
      <c r="G340" s="143" t="n">
        <f aca="false">BACKUP!G448</f>
        <v>1825</v>
      </c>
      <c r="H340" s="143" t="n">
        <f aca="false">BACKUP!H448</f>
        <v>1827</v>
      </c>
      <c r="I340" s="143" t="n">
        <f aca="false">BACKUP!I448</f>
        <v>1830</v>
      </c>
      <c r="J340" s="143" t="n">
        <f aca="false">BACKUP!J448</f>
        <v>1830</v>
      </c>
      <c r="K340" s="143" t="n">
        <f aca="false">BACKUP!K448</f>
        <v>1830</v>
      </c>
      <c r="L340" s="143" t="n">
        <f aca="false">BACKUP!L448</f>
        <v>1830</v>
      </c>
      <c r="M340" s="143" t="n">
        <f aca="false">BACKUP!M448</f>
        <v>1918</v>
      </c>
      <c r="N340" s="143" t="n">
        <f aca="false">BACKUP!N448</f>
        <v>1918</v>
      </c>
      <c r="O340" s="143" t="n">
        <f aca="false">BACKUP!O448</f>
        <v>932</v>
      </c>
      <c r="P340" s="103"/>
      <c r="Q340" s="103"/>
      <c r="R340" s="103"/>
      <c r="S340" s="103"/>
      <c r="T340" s="103"/>
      <c r="U340" s="130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</row>
    <row r="341" customFormat="false" ht="12.75" hidden="false" customHeight="false" outlineLevel="0" collapsed="false">
      <c r="A341" s="103"/>
      <c r="B341" s="103"/>
      <c r="C341" s="118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</row>
    <row r="342" customFormat="false" ht="12.75" hidden="false" customHeight="false" outlineLevel="0" collapsed="false">
      <c r="A342" s="155" t="str">
        <f aca="false">BACKUP!A247</f>
        <v>Regulatory Assets (Noncurrent) - End. Balance</v>
      </c>
      <c r="B342" s="103"/>
      <c r="C342" s="118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</row>
    <row r="343" customFormat="false" ht="12.75" hidden="false" customHeight="false" outlineLevel="0" collapsed="false">
      <c r="A343" s="130" t="str">
        <f aca="false">BACKUP!A249</f>
        <v>      Change</v>
      </c>
      <c r="B343" s="103"/>
      <c r="C343" s="118" t="s">
        <v>603</v>
      </c>
      <c r="D343" s="130" t="n">
        <f aca="false">BACKUP!D249</f>
        <v>2772</v>
      </c>
      <c r="E343" s="130" t="n">
        <f aca="false">BACKUP!E249</f>
        <v>-3495</v>
      </c>
      <c r="F343" s="130" t="n">
        <f aca="false">BACKUP!F249</f>
        <v>-346</v>
      </c>
      <c r="G343" s="130" t="n">
        <f aca="false">BACKUP!G249</f>
        <v>-1502</v>
      </c>
      <c r="H343" s="130" t="n">
        <f aca="false">BACKUP!H249</f>
        <v>-4305</v>
      </c>
      <c r="I343" s="130" t="n">
        <f aca="false">BACKUP!I249</f>
        <v>-3265</v>
      </c>
      <c r="J343" s="130" t="n">
        <f aca="false">BACKUP!J249</f>
        <v>-3422</v>
      </c>
      <c r="K343" s="130" t="n">
        <f aca="false">BACKUP!K249</f>
        <v>-341</v>
      </c>
      <c r="L343" s="130" t="n">
        <f aca="false">BACKUP!L249</f>
        <v>-418</v>
      </c>
      <c r="M343" s="130" t="n">
        <f aca="false">BACKUP!M249</f>
        <v>-317</v>
      </c>
      <c r="N343" s="130" t="n">
        <f aca="false">BACKUP!N249</f>
        <v>-918</v>
      </c>
      <c r="O343" s="130" t="n">
        <f aca="false">BACKUP!O249</f>
        <v>9786</v>
      </c>
      <c r="P343" s="130" t="n">
        <f aca="false">SUM(D343:O343)</f>
        <v>-5771</v>
      </c>
      <c r="Q343" s="131" t="n">
        <f aca="false">SUM(D343:J343)</f>
        <v>-13563</v>
      </c>
      <c r="R343" s="130" t="n">
        <f aca="false">P343-Q343</f>
        <v>7792</v>
      </c>
      <c r="S343" s="103"/>
      <c r="T343" s="103"/>
      <c r="U343" s="131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</row>
    <row r="344" customFormat="false" ht="12.75" hidden="false" customHeight="false" outlineLevel="0" collapsed="false">
      <c r="A344" s="103"/>
      <c r="B344" s="103"/>
      <c r="C344" s="118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30"/>
      <c r="U344" s="130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  <c r="AT344" s="103"/>
      <c r="AU344" s="103"/>
    </row>
    <row r="345" customFormat="false" ht="12.75" hidden="false" customHeight="false" outlineLevel="0" collapsed="false">
      <c r="A345" s="100" t="str">
        <f aca="false">BACKUP!A436</f>
        <v>Regulatory Liabilities (Noncurrent) - End. Balance</v>
      </c>
      <c r="B345" s="103"/>
      <c r="C345" s="118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30"/>
      <c r="U345" s="130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  <c r="AT345" s="103"/>
      <c r="AU345" s="103"/>
    </row>
    <row r="346" customFormat="false" ht="12.75" hidden="false" customHeight="false" outlineLevel="0" collapsed="false">
      <c r="A346" s="103" t="str">
        <f aca="false">BACKUP!A438</f>
        <v>      Change</v>
      </c>
      <c r="B346" s="103"/>
      <c r="C346" s="118" t="s">
        <v>603</v>
      </c>
      <c r="D346" s="103" t="n">
        <f aca="false">BACKUP!D438</f>
        <v>0</v>
      </c>
      <c r="E346" s="103" t="n">
        <f aca="false">BACKUP!E438</f>
        <v>0</v>
      </c>
      <c r="F346" s="103" t="n">
        <f aca="false">BACKUP!F438</f>
        <v>0</v>
      </c>
      <c r="G346" s="103" t="n">
        <f aca="false">BACKUP!G438</f>
        <v>0</v>
      </c>
      <c r="H346" s="103" t="n">
        <f aca="false">BACKUP!H438</f>
        <v>0</v>
      </c>
      <c r="I346" s="103" t="n">
        <f aca="false">BACKUP!I438</f>
        <v>0</v>
      </c>
      <c r="J346" s="103" t="n">
        <f aca="false">BACKUP!J438</f>
        <v>0</v>
      </c>
      <c r="K346" s="103" t="n">
        <f aca="false">BACKUP!K438</f>
        <v>0</v>
      </c>
      <c r="L346" s="103" t="n">
        <f aca="false">BACKUP!L438</f>
        <v>0</v>
      </c>
      <c r="M346" s="103" t="n">
        <f aca="false">BACKUP!M438</f>
        <v>0</v>
      </c>
      <c r="N346" s="103" t="n">
        <f aca="false">BACKUP!N438</f>
        <v>0</v>
      </c>
      <c r="O346" s="103" t="n">
        <f aca="false">BACKUP!O438</f>
        <v>0</v>
      </c>
      <c r="P346" s="130" t="n">
        <f aca="false">SUM(D346:O346)</f>
        <v>0</v>
      </c>
      <c r="Q346" s="131" t="n">
        <f aca="false">SUM(D346:J346)</f>
        <v>0</v>
      </c>
      <c r="R346" s="130" t="n">
        <f aca="false">P346-Q346</f>
        <v>0</v>
      </c>
      <c r="S346" s="103"/>
      <c r="T346" s="130"/>
      <c r="U346" s="130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</row>
    <row r="347" customFormat="false" ht="12.75" hidden="false" customHeight="false" outlineLevel="0" collapsed="false">
      <c r="A347" s="103"/>
      <c r="B347" s="103"/>
      <c r="C347" s="118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30"/>
      <c r="U347" s="130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  <c r="AT347" s="103"/>
      <c r="AU347" s="103"/>
    </row>
    <row r="348" customFormat="false" ht="12.75" hidden="false" customHeight="false" outlineLevel="0" collapsed="false">
      <c r="A348" s="100" t="str">
        <f aca="false">BACKUP!A478</f>
        <v>Long Term Debt - Beg. Balance</v>
      </c>
      <c r="B348" s="103"/>
      <c r="C348" s="118"/>
      <c r="D348" s="130" t="n">
        <f aca="false">BACKUP!D478</f>
        <v>499666</v>
      </c>
      <c r="E348" s="130" t="n">
        <f aca="false">BACKUP!E478</f>
        <v>499672</v>
      </c>
      <c r="F348" s="130" t="n">
        <f aca="false">BACKUP!F478</f>
        <v>499678</v>
      </c>
      <c r="G348" s="130" t="n">
        <f aca="false">BACKUP!G478</f>
        <v>499685</v>
      </c>
      <c r="H348" s="130" t="n">
        <f aca="false">BACKUP!H478</f>
        <v>499691</v>
      </c>
      <c r="I348" s="130" t="n">
        <f aca="false">BACKUP!I478</f>
        <v>499698</v>
      </c>
      <c r="J348" s="130" t="n">
        <f aca="false">BACKUP!J478</f>
        <v>499704</v>
      </c>
      <c r="K348" s="130" t="n">
        <f aca="false">BACKUP!K478</f>
        <v>499711</v>
      </c>
      <c r="L348" s="130" t="n">
        <f aca="false">BACKUP!L478</f>
        <v>499717</v>
      </c>
      <c r="M348" s="130" t="n">
        <f aca="false">BACKUP!M478</f>
        <v>499724</v>
      </c>
      <c r="N348" s="130" t="n">
        <f aca="false">BACKUP!N478</f>
        <v>499730</v>
      </c>
      <c r="O348" s="130" t="n">
        <f aca="false">BACKUP!O478</f>
        <v>499737</v>
      </c>
      <c r="P348" s="130"/>
      <c r="Q348" s="103"/>
      <c r="R348" s="103"/>
      <c r="S348" s="103"/>
      <c r="T348" s="130"/>
      <c r="U348" s="130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  <c r="AT348" s="103"/>
      <c r="AU348" s="103"/>
    </row>
    <row r="349" customFormat="false" ht="12.75" hidden="false" customHeight="false" outlineLevel="0" collapsed="false">
      <c r="A349" s="103" t="str">
        <f aca="false">BACKUP!A479</f>
        <v>   Principal - $250.0 MM @ 8.0% (Reclass to Cur. Liab.)</v>
      </c>
      <c r="B349" s="103"/>
      <c r="C349" s="118" t="s">
        <v>604</v>
      </c>
      <c r="D349" s="130" t="n">
        <f aca="false">BACKUP!D479</f>
        <v>0</v>
      </c>
      <c r="E349" s="130" t="n">
        <f aca="false">BACKUP!E479</f>
        <v>0</v>
      </c>
      <c r="F349" s="130" t="n">
        <f aca="false">BACKUP!F479</f>
        <v>0</v>
      </c>
      <c r="G349" s="130" t="n">
        <f aca="false">BACKUP!G479</f>
        <v>0</v>
      </c>
      <c r="H349" s="130" t="n">
        <f aca="false">BACKUP!H479</f>
        <v>0</v>
      </c>
      <c r="I349" s="130" t="n">
        <f aca="false">BACKUP!I479</f>
        <v>0</v>
      </c>
      <c r="J349" s="130" t="n">
        <f aca="false">BACKUP!J479</f>
        <v>0</v>
      </c>
      <c r="K349" s="130" t="n">
        <f aca="false">BACKUP!K479</f>
        <v>0</v>
      </c>
      <c r="L349" s="130" t="n">
        <f aca="false">BACKUP!L479</f>
        <v>0</v>
      </c>
      <c r="M349" s="130" t="n">
        <f aca="false">BACKUP!M479</f>
        <v>0</v>
      </c>
      <c r="N349" s="130" t="n">
        <f aca="false">BACKUP!N479</f>
        <v>0</v>
      </c>
      <c r="O349" s="130" t="n">
        <f aca="false">BACKUP!O479</f>
        <v>0</v>
      </c>
      <c r="P349" s="130" t="n">
        <f aca="false">BACKUP!P479</f>
        <v>0</v>
      </c>
      <c r="Q349" s="103"/>
      <c r="R349" s="103"/>
      <c r="S349" s="103"/>
      <c r="T349" s="130"/>
      <c r="U349" s="130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  <c r="AT349" s="103"/>
      <c r="AU349" s="103"/>
    </row>
    <row r="350" customFormat="false" ht="12.75" hidden="false" customHeight="false" outlineLevel="0" collapsed="false">
      <c r="A350" s="103" t="str">
        <f aca="false">BACKUP!A480</f>
        <v>                - $100.0 MM @ 6.875%</v>
      </c>
      <c r="B350" s="103"/>
      <c r="C350" s="118" t="s">
        <v>604</v>
      </c>
      <c r="D350" s="130" t="n">
        <f aca="false">BACKUP!D480</f>
        <v>0</v>
      </c>
      <c r="E350" s="130" t="n">
        <f aca="false">BACKUP!E480</f>
        <v>0</v>
      </c>
      <c r="F350" s="130" t="n">
        <f aca="false">BACKUP!F480</f>
        <v>0</v>
      </c>
      <c r="G350" s="130" t="n">
        <f aca="false">BACKUP!G480</f>
        <v>0</v>
      </c>
      <c r="H350" s="130" t="n">
        <f aca="false">BACKUP!H480</f>
        <v>0</v>
      </c>
      <c r="I350" s="130" t="n">
        <f aca="false">BACKUP!I480</f>
        <v>0</v>
      </c>
      <c r="J350" s="130" t="n">
        <f aca="false">BACKUP!J480</f>
        <v>0</v>
      </c>
      <c r="K350" s="130" t="n">
        <f aca="false">BACKUP!K480</f>
        <v>0</v>
      </c>
      <c r="L350" s="130" t="n">
        <f aca="false">BACKUP!L480</f>
        <v>0</v>
      </c>
      <c r="M350" s="130" t="n">
        <f aca="false">BACKUP!M480</f>
        <v>0</v>
      </c>
      <c r="N350" s="130" t="n">
        <f aca="false">BACKUP!N480</f>
        <v>0</v>
      </c>
      <c r="O350" s="130" t="n">
        <f aca="false">BACKUP!O480</f>
        <v>0</v>
      </c>
      <c r="P350" s="130" t="n">
        <f aca="false">BACKUP!P480</f>
        <v>0</v>
      </c>
      <c r="Q350" s="103"/>
      <c r="R350" s="103"/>
      <c r="S350" s="103"/>
      <c r="T350" s="130"/>
      <c r="U350" s="130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  <c r="AT350" s="103"/>
      <c r="AU350" s="103"/>
    </row>
    <row r="351" customFormat="false" ht="12.75" hidden="false" customHeight="false" outlineLevel="0" collapsed="false">
      <c r="A351" s="103" t="str">
        <f aca="false">BACKUP!A481</f>
        <v>                - $150.0 MM @ 6.75%</v>
      </c>
      <c r="B351" s="103"/>
      <c r="C351" s="118" t="s">
        <v>604</v>
      </c>
      <c r="D351" s="130" t="n">
        <f aca="false">BACKUP!D481</f>
        <v>0</v>
      </c>
      <c r="E351" s="130" t="n">
        <f aca="false">BACKUP!E481</f>
        <v>0</v>
      </c>
      <c r="F351" s="130" t="n">
        <f aca="false">BACKUP!F481</f>
        <v>0</v>
      </c>
      <c r="G351" s="130" t="n">
        <f aca="false">BACKUP!G481</f>
        <v>0</v>
      </c>
      <c r="H351" s="130" t="n">
        <f aca="false">BACKUP!H481</f>
        <v>0</v>
      </c>
      <c r="I351" s="130" t="n">
        <f aca="false">BACKUP!I481</f>
        <v>0</v>
      </c>
      <c r="J351" s="130" t="n">
        <f aca="false">BACKUP!J481</f>
        <v>0</v>
      </c>
      <c r="K351" s="130" t="n">
        <f aca="false">BACKUP!K481</f>
        <v>0</v>
      </c>
      <c r="L351" s="130" t="n">
        <f aca="false">BACKUP!L481</f>
        <v>0</v>
      </c>
      <c r="M351" s="130" t="n">
        <f aca="false">BACKUP!M481</f>
        <v>0</v>
      </c>
      <c r="N351" s="130" t="n">
        <f aca="false">BACKUP!N481</f>
        <v>0</v>
      </c>
      <c r="O351" s="130" t="n">
        <f aca="false">BACKUP!O481</f>
        <v>0</v>
      </c>
      <c r="P351" s="130" t="n">
        <f aca="false">BACKUP!P481</f>
        <v>0</v>
      </c>
      <c r="Q351" s="103"/>
      <c r="R351" s="103"/>
      <c r="S351" s="103"/>
      <c r="T351" s="130"/>
      <c r="U351" s="130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  <c r="AT351" s="103"/>
      <c r="AU351" s="103"/>
    </row>
    <row r="352" customFormat="false" ht="12.75" hidden="false" customHeight="false" outlineLevel="0" collapsed="false">
      <c r="A352" s="103" t="str">
        <f aca="false">BACKUP!A482</f>
        <v>   Debt Discount</v>
      </c>
      <c r="B352" s="103"/>
      <c r="C352" s="118" t="s">
        <v>592</v>
      </c>
      <c r="D352" s="130" t="n">
        <f aca="false">BACKUP!D482</f>
        <v>6</v>
      </c>
      <c r="E352" s="130" t="n">
        <f aca="false">BACKUP!E482</f>
        <v>6</v>
      </c>
      <c r="F352" s="130" t="n">
        <f aca="false">BACKUP!F482</f>
        <v>7</v>
      </c>
      <c r="G352" s="130" t="n">
        <f aca="false">BACKUP!G482</f>
        <v>6</v>
      </c>
      <c r="H352" s="130" t="n">
        <f aca="false">BACKUP!H482</f>
        <v>7</v>
      </c>
      <c r="I352" s="130" t="n">
        <f aca="false">BACKUP!I482</f>
        <v>6</v>
      </c>
      <c r="J352" s="130" t="n">
        <f aca="false">BACKUP!J482</f>
        <v>7</v>
      </c>
      <c r="K352" s="130" t="n">
        <f aca="false">BACKUP!K482</f>
        <v>6</v>
      </c>
      <c r="L352" s="130" t="n">
        <f aca="false">BACKUP!L482</f>
        <v>7</v>
      </c>
      <c r="M352" s="130" t="n">
        <f aca="false">BACKUP!M482</f>
        <v>6</v>
      </c>
      <c r="N352" s="130" t="n">
        <f aca="false">BACKUP!N482</f>
        <v>7</v>
      </c>
      <c r="O352" s="130" t="n">
        <f aca="false">BACKUP!O482</f>
        <v>6</v>
      </c>
      <c r="P352" s="130" t="n">
        <f aca="false">BACKUP!P482</f>
        <v>77</v>
      </c>
      <c r="Q352" s="103"/>
      <c r="R352" s="103"/>
      <c r="S352" s="103"/>
      <c r="T352" s="130"/>
      <c r="U352" s="130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</row>
    <row r="353" customFormat="false" ht="12.75" hidden="false" customHeight="false" outlineLevel="0" collapsed="false">
      <c r="A353" s="103" t="str">
        <f aca="false">BACKUP!A483</f>
        <v>   Actual / Estimate Adjustment </v>
      </c>
      <c r="B353" s="103"/>
      <c r="C353" s="118"/>
      <c r="D353" s="143" t="n">
        <f aca="false">BACKUP!D483</f>
        <v>0</v>
      </c>
      <c r="E353" s="143" t="n">
        <f aca="false">BACKUP!E483</f>
        <v>0</v>
      </c>
      <c r="F353" s="143" t="n">
        <f aca="false">BACKUP!F483</f>
        <v>0</v>
      </c>
      <c r="G353" s="143" t="n">
        <f aca="false">BACKUP!G483</f>
        <v>0</v>
      </c>
      <c r="H353" s="143" t="n">
        <f aca="false">BACKUP!H483</f>
        <v>0</v>
      </c>
      <c r="I353" s="143" t="n">
        <f aca="false">BACKUP!I483</f>
        <v>0</v>
      </c>
      <c r="J353" s="143" t="n">
        <f aca="false">BACKUP!J483</f>
        <v>0</v>
      </c>
      <c r="K353" s="143" t="n">
        <f aca="false">BACKUP!K483</f>
        <v>0</v>
      </c>
      <c r="L353" s="143" t="n">
        <f aca="false">BACKUP!L483</f>
        <v>0</v>
      </c>
      <c r="M353" s="143" t="n">
        <f aca="false">BACKUP!M483</f>
        <v>0</v>
      </c>
      <c r="N353" s="143" t="n">
        <f aca="false">BACKUP!N483</f>
        <v>0</v>
      </c>
      <c r="O353" s="143" t="n">
        <f aca="false">BACKUP!O483</f>
        <v>0</v>
      </c>
      <c r="P353" s="130" t="n">
        <f aca="false">BACKUP!P483</f>
        <v>0</v>
      </c>
      <c r="Q353" s="103"/>
      <c r="R353" s="103"/>
      <c r="S353" s="103"/>
      <c r="T353" s="130"/>
      <c r="U353" s="130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</row>
    <row r="354" customFormat="false" ht="3.95" hidden="false" customHeight="true" outlineLevel="0" collapsed="false">
      <c r="A354" s="103"/>
      <c r="B354" s="103"/>
      <c r="C354" s="118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30"/>
      <c r="U354" s="130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  <c r="AT354" s="103"/>
      <c r="AU354" s="103"/>
    </row>
    <row r="355" customFormat="false" ht="12.75" hidden="false" customHeight="false" outlineLevel="0" collapsed="false">
      <c r="A355" s="100" t="str">
        <f aca="false">BACKUP!A485</f>
        <v>Long Term Debt - End. Balance</v>
      </c>
      <c r="B355" s="103"/>
      <c r="C355" s="118"/>
      <c r="D355" s="130" t="n">
        <f aca="false">BACKUP!D485</f>
        <v>499672</v>
      </c>
      <c r="E355" s="130" t="n">
        <f aca="false">BACKUP!E485</f>
        <v>499678</v>
      </c>
      <c r="F355" s="130" t="n">
        <f aca="false">BACKUP!F485</f>
        <v>499685</v>
      </c>
      <c r="G355" s="130" t="n">
        <f aca="false">BACKUP!G485</f>
        <v>499691</v>
      </c>
      <c r="H355" s="130" t="n">
        <f aca="false">BACKUP!H485</f>
        <v>499698</v>
      </c>
      <c r="I355" s="130" t="n">
        <f aca="false">BACKUP!I485</f>
        <v>499704</v>
      </c>
      <c r="J355" s="130" t="n">
        <f aca="false">BACKUP!J485</f>
        <v>499711</v>
      </c>
      <c r="K355" s="130" t="n">
        <f aca="false">BACKUP!K485</f>
        <v>499717</v>
      </c>
      <c r="L355" s="130" t="n">
        <f aca="false">BACKUP!L485</f>
        <v>499724</v>
      </c>
      <c r="M355" s="130" t="n">
        <f aca="false">BACKUP!M485</f>
        <v>499730</v>
      </c>
      <c r="N355" s="130" t="n">
        <f aca="false">BACKUP!N485</f>
        <v>499737</v>
      </c>
      <c r="O355" s="130" t="n">
        <f aca="false">BACKUP!O485</f>
        <v>499743</v>
      </c>
      <c r="P355" s="130"/>
      <c r="Q355" s="103"/>
      <c r="R355" s="103"/>
      <c r="S355" s="103"/>
      <c r="T355" s="130"/>
      <c r="U355" s="130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</row>
    <row r="356" customFormat="false" ht="12.75" hidden="false" customHeight="false" outlineLevel="0" collapsed="false">
      <c r="A356" s="103"/>
      <c r="B356" s="103"/>
      <c r="C356" s="118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30"/>
      <c r="U356" s="130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  <c r="AT356" s="103"/>
      <c r="AU356" s="103"/>
    </row>
    <row r="357" customFormat="false" ht="12.75" hidden="false" customHeight="false" outlineLevel="0" collapsed="false">
      <c r="A357" s="155" t="str">
        <f aca="false">BACKUP!A490</f>
        <v>Capitalization - Beg. Balance</v>
      </c>
      <c r="B357" s="103"/>
      <c r="C357" s="118"/>
      <c r="D357" s="130" t="n">
        <f aca="false">BACKUP!D490</f>
        <v>1087527</v>
      </c>
      <c r="E357" s="130" t="n">
        <f aca="false">BACKUP!E490</f>
        <v>1107628</v>
      </c>
      <c r="F357" s="130" t="n">
        <f aca="false">BACKUP!F490</f>
        <v>1126280</v>
      </c>
      <c r="G357" s="130" t="n">
        <f aca="false">BACKUP!G490</f>
        <v>1138649</v>
      </c>
      <c r="H357" s="130" t="n">
        <f aca="false">BACKUP!H490</f>
        <v>1141747</v>
      </c>
      <c r="I357" s="130" t="n">
        <f aca="false">BACKUP!I490</f>
        <v>1142736</v>
      </c>
      <c r="J357" s="130" t="n">
        <f aca="false">BACKUP!J490</f>
        <v>1145702</v>
      </c>
      <c r="K357" s="130" t="n">
        <f aca="false">BACKUP!K490</f>
        <v>1147250</v>
      </c>
      <c r="L357" s="130" t="n">
        <f aca="false">BACKUP!L490</f>
        <v>1149724</v>
      </c>
      <c r="M357" s="130" t="n">
        <f aca="false">BACKUP!M490</f>
        <v>1150370</v>
      </c>
      <c r="N357" s="130" t="n">
        <f aca="false">BACKUP!N490</f>
        <v>1149185</v>
      </c>
      <c r="O357" s="130" t="n">
        <f aca="false">BACKUP!O490</f>
        <v>1165536</v>
      </c>
      <c r="P357" s="103"/>
      <c r="Q357" s="103"/>
      <c r="R357" s="103"/>
      <c r="S357" s="103"/>
      <c r="T357" s="103"/>
      <c r="U357" s="130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  <c r="AT357" s="103"/>
      <c r="AU357" s="103"/>
    </row>
    <row r="358" customFormat="false" ht="12.75" hidden="false" customHeight="false" outlineLevel="0" collapsed="false">
      <c r="A358" s="130" t="str">
        <f aca="false">BACKUP!A491</f>
        <v>   Net Income - w/o Asset Sales</v>
      </c>
      <c r="B358" s="103"/>
      <c r="C358" s="118"/>
      <c r="D358" s="130" t="n">
        <f aca="false">BACKUP!D491</f>
        <v>19635</v>
      </c>
      <c r="E358" s="130" t="n">
        <f aca="false">BACKUP!E491</f>
        <v>18785</v>
      </c>
      <c r="F358" s="130" t="n">
        <f aca="false">BACKUP!F491</f>
        <v>17694</v>
      </c>
      <c r="G358" s="130" t="n">
        <f aca="false">BACKUP!G491</f>
        <v>3083</v>
      </c>
      <c r="H358" s="130" t="n">
        <f aca="false">BACKUP!H491</f>
        <v>989</v>
      </c>
      <c r="I358" s="130" t="n">
        <f aca="false">BACKUP!I491</f>
        <v>2966</v>
      </c>
      <c r="J358" s="130" t="n">
        <f aca="false">BACKUP!J491</f>
        <v>1548</v>
      </c>
      <c r="K358" s="130" t="n">
        <f aca="false">BACKUP!K491</f>
        <v>2474</v>
      </c>
      <c r="L358" s="130" t="n">
        <f aca="false">BACKUP!L491</f>
        <v>646</v>
      </c>
      <c r="M358" s="130" t="n">
        <f aca="false">BACKUP!M491</f>
        <v>-1185</v>
      </c>
      <c r="N358" s="130" t="n">
        <f aca="false">BACKUP!N491</f>
        <v>16351</v>
      </c>
      <c r="O358" s="130" t="n">
        <f aca="false">BACKUP!O491</f>
        <v>16756</v>
      </c>
      <c r="P358" s="130" t="n">
        <f aca="false">SUM(D358:O358)</f>
        <v>99742</v>
      </c>
      <c r="Q358" s="131" t="n">
        <f aca="false">SUM(D358:J358)</f>
        <v>64700</v>
      </c>
      <c r="R358" s="130" t="n">
        <f aca="false">P358-Q358</f>
        <v>35042</v>
      </c>
      <c r="S358" s="103"/>
      <c r="T358" s="103"/>
      <c r="U358" s="130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</row>
    <row r="359" customFormat="false" ht="12.75" hidden="false" customHeight="false" outlineLevel="0" collapsed="false">
      <c r="A359" s="130" t="str">
        <f aca="false">BACKUP!A492</f>
        <v>         - Net Gain / (Loss) on Asset Sales (External)</v>
      </c>
      <c r="B359" s="103"/>
      <c r="C359" s="118" t="s">
        <v>596</v>
      </c>
      <c r="D359" s="130" t="n">
        <f aca="false">BACKUP!D492</f>
        <v>0</v>
      </c>
      <c r="E359" s="130" t="n">
        <f aca="false">BACKUP!E492</f>
        <v>0</v>
      </c>
      <c r="F359" s="130" t="n">
        <f aca="false">BACKUP!F492</f>
        <v>0</v>
      </c>
      <c r="G359" s="130" t="n">
        <f aca="false">BACKUP!G492</f>
        <v>0</v>
      </c>
      <c r="H359" s="130" t="n">
        <f aca="false">BACKUP!H492</f>
        <v>0</v>
      </c>
      <c r="I359" s="130" t="n">
        <f aca="false">BACKUP!I492</f>
        <v>0</v>
      </c>
      <c r="J359" s="130" t="n">
        <f aca="false">BACKUP!J492</f>
        <v>0</v>
      </c>
      <c r="K359" s="130" t="n">
        <f aca="false">BACKUP!K492</f>
        <v>0</v>
      </c>
      <c r="L359" s="130" t="n">
        <f aca="false">BACKUP!L492</f>
        <v>0</v>
      </c>
      <c r="M359" s="130" t="n">
        <f aca="false">BACKUP!M492</f>
        <v>0</v>
      </c>
      <c r="N359" s="130" t="n">
        <f aca="false">BACKUP!N492</f>
        <v>0</v>
      </c>
      <c r="O359" s="130" t="n">
        <f aca="false">BACKUP!O492</f>
        <v>0</v>
      </c>
      <c r="P359" s="130" t="n">
        <f aca="false">SUM(D359:O359)</f>
        <v>0</v>
      </c>
      <c r="Q359" s="131" t="n">
        <f aca="false">SUM(D359:J359)</f>
        <v>0</v>
      </c>
      <c r="R359" s="130" t="n">
        <f aca="false">P359-Q359</f>
        <v>0</v>
      </c>
      <c r="S359" s="103"/>
      <c r="T359" s="103"/>
      <c r="U359" s="130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</row>
    <row r="360" customFormat="false" ht="12.75" hidden="false" customHeight="false" outlineLevel="0" collapsed="false">
      <c r="A360" s="130" t="str">
        <f aca="false">BACKUP!A493</f>
        <v>         - Net Gain / (Loss) on Asset Sales (Assoc. Co.)</v>
      </c>
      <c r="B360" s="103"/>
      <c r="C360" s="118" t="s">
        <v>596</v>
      </c>
      <c r="D360" s="130" t="n">
        <f aca="false">BACKUP!D493</f>
        <v>0</v>
      </c>
      <c r="E360" s="130" t="n">
        <f aca="false">BACKUP!E493</f>
        <v>0</v>
      </c>
      <c r="F360" s="130" t="n">
        <f aca="false">BACKUP!F493</f>
        <v>0</v>
      </c>
      <c r="G360" s="130" t="n">
        <f aca="false">BACKUP!G493</f>
        <v>0</v>
      </c>
      <c r="H360" s="130" t="n">
        <f aca="false">BACKUP!H493</f>
        <v>0</v>
      </c>
      <c r="I360" s="130" t="n">
        <f aca="false">BACKUP!I493</f>
        <v>0</v>
      </c>
      <c r="J360" s="130" t="n">
        <f aca="false">BACKUP!J493</f>
        <v>0</v>
      </c>
      <c r="K360" s="130" t="n">
        <f aca="false">BACKUP!K493</f>
        <v>0</v>
      </c>
      <c r="L360" s="130" t="n">
        <f aca="false">BACKUP!L493</f>
        <v>0</v>
      </c>
      <c r="M360" s="130" t="n">
        <f aca="false">BACKUP!M493</f>
        <v>0</v>
      </c>
      <c r="N360" s="130" t="n">
        <f aca="false">BACKUP!N493</f>
        <v>0</v>
      </c>
      <c r="O360" s="130" t="n">
        <f aca="false">BACKUP!O493</f>
        <v>0</v>
      </c>
      <c r="P360" s="130" t="n">
        <f aca="false">SUM(D360:O360)</f>
        <v>0</v>
      </c>
      <c r="Q360" s="131" t="n">
        <f aca="false">SUM(D360:J360)</f>
        <v>0</v>
      </c>
      <c r="R360" s="130" t="n">
        <f aca="false">P360-Q360</f>
        <v>0</v>
      </c>
      <c r="S360" s="103"/>
      <c r="T360" s="103"/>
      <c r="U360" s="130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  <c r="AS360" s="103"/>
      <c r="AT360" s="103"/>
      <c r="AU360" s="103"/>
    </row>
    <row r="361" customFormat="false" ht="12.75" hidden="false" customHeight="false" outlineLevel="0" collapsed="false">
      <c r="A361" s="130" t="str">
        <f aca="false">BACKUP!A494</f>
        <v>   FASB 133 - Comprehensive Income / (Loss)</v>
      </c>
      <c r="B361" s="103"/>
      <c r="C361" s="118"/>
      <c r="D361" s="130" t="n">
        <f aca="false">BACKUP!D494</f>
        <v>466</v>
      </c>
      <c r="E361" s="130" t="n">
        <f aca="false">BACKUP!E494</f>
        <v>-133</v>
      </c>
      <c r="F361" s="130" t="n">
        <f aca="false">BACKUP!F494</f>
        <v>-348</v>
      </c>
      <c r="G361" s="130" t="n">
        <f aca="false">BACKUP!G494</f>
        <v>15</v>
      </c>
      <c r="H361" s="130" t="n">
        <f aca="false">BACKUP!H494</f>
        <v>0</v>
      </c>
      <c r="I361" s="130" t="n">
        <f aca="false">BACKUP!I494</f>
        <v>0</v>
      </c>
      <c r="J361" s="130" t="n">
        <f aca="false">BACKUP!J494</f>
        <v>0</v>
      </c>
      <c r="K361" s="130" t="n">
        <f aca="false">BACKUP!K494</f>
        <v>0</v>
      </c>
      <c r="L361" s="130" t="n">
        <f aca="false">BACKUP!L494</f>
        <v>0</v>
      </c>
      <c r="M361" s="130" t="n">
        <f aca="false">BACKUP!M494</f>
        <v>0</v>
      </c>
      <c r="N361" s="130" t="n">
        <f aca="false">BACKUP!N494</f>
        <v>0</v>
      </c>
      <c r="O361" s="130" t="n">
        <f aca="false">BACKUP!O494</f>
        <v>0</v>
      </c>
      <c r="P361" s="130" t="n">
        <f aca="false">SUM(D361:O361)</f>
        <v>0</v>
      </c>
      <c r="Q361" s="131" t="n">
        <f aca="false">SUM(D361:J361)</f>
        <v>0</v>
      </c>
      <c r="R361" s="130" t="n">
        <f aca="false">P361-Q361</f>
        <v>0</v>
      </c>
      <c r="S361" s="103"/>
      <c r="T361" s="103"/>
      <c r="U361" s="130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</row>
    <row r="362" customFormat="false" ht="12.75" hidden="false" customHeight="false" outlineLevel="0" collapsed="false">
      <c r="A362" s="130" t="str">
        <f aca="false">BACKUP!A495</f>
        <v>                   - Other</v>
      </c>
      <c r="B362" s="103"/>
      <c r="C362" s="118" t="s">
        <v>592</v>
      </c>
      <c r="D362" s="130" t="n">
        <f aca="false">BACKUP!D495</f>
        <v>0</v>
      </c>
      <c r="E362" s="130" t="n">
        <f aca="false">BACKUP!E495</f>
        <v>0</v>
      </c>
      <c r="F362" s="130" t="n">
        <f aca="false">BACKUP!F495</f>
        <v>0</v>
      </c>
      <c r="G362" s="130" t="n">
        <f aca="false">BACKUP!G495</f>
        <v>0</v>
      </c>
      <c r="H362" s="130" t="n">
        <f aca="false">BACKUP!H495</f>
        <v>0</v>
      </c>
      <c r="I362" s="130" t="n">
        <f aca="false">BACKUP!I495</f>
        <v>0</v>
      </c>
      <c r="J362" s="130" t="n">
        <f aca="false">BACKUP!J495</f>
        <v>0</v>
      </c>
      <c r="K362" s="130" t="n">
        <f aca="false">BACKUP!K495</f>
        <v>0</v>
      </c>
      <c r="L362" s="130" t="n">
        <f aca="false">BACKUP!L495</f>
        <v>0</v>
      </c>
      <c r="M362" s="130" t="n">
        <f aca="false">BACKUP!M495</f>
        <v>0</v>
      </c>
      <c r="N362" s="130" t="n">
        <f aca="false">BACKUP!N495</f>
        <v>0</v>
      </c>
      <c r="O362" s="130" t="n">
        <f aca="false">BACKUP!O495</f>
        <v>0</v>
      </c>
      <c r="P362" s="130" t="n">
        <f aca="false">SUM(D362:O362)</f>
        <v>0</v>
      </c>
      <c r="Q362" s="131" t="n">
        <f aca="false">SUM(D362:J362)</f>
        <v>0</v>
      </c>
      <c r="R362" s="130" t="n">
        <f aca="false">P362-Q362</f>
        <v>0</v>
      </c>
      <c r="S362" s="103"/>
      <c r="T362" s="103"/>
      <c r="U362" s="130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  <c r="AT362" s="103"/>
      <c r="AU362" s="103"/>
    </row>
    <row r="363" customFormat="false" ht="12.75" hidden="false" customHeight="false" outlineLevel="0" collapsed="false">
      <c r="A363" s="130" t="str">
        <f aca="false">BACKUP!A496</f>
        <v>   Dividends to EPC, Trailblazer TPC1 (3/99)</v>
      </c>
      <c r="B363" s="103"/>
      <c r="C363" s="118"/>
      <c r="D363" s="130" t="n">
        <f aca="false">BACKUP!D496</f>
        <v>0</v>
      </c>
      <c r="E363" s="130" t="n">
        <f aca="false">BACKUP!E496</f>
        <v>0</v>
      </c>
      <c r="F363" s="130" t="n">
        <f aca="false">BACKUP!F496</f>
        <v>0</v>
      </c>
      <c r="G363" s="130" t="n">
        <f aca="false">BACKUP!G496</f>
        <v>0</v>
      </c>
      <c r="H363" s="130" t="n">
        <f aca="false">BACKUP!H496</f>
        <v>0</v>
      </c>
      <c r="I363" s="130" t="n">
        <f aca="false">BACKUP!I496</f>
        <v>0</v>
      </c>
      <c r="J363" s="130" t="n">
        <f aca="false">BACKUP!J496</f>
        <v>0</v>
      </c>
      <c r="K363" s="130" t="n">
        <f aca="false">BACKUP!K496</f>
        <v>0</v>
      </c>
      <c r="L363" s="130" t="n">
        <f aca="false">BACKUP!L496</f>
        <v>0</v>
      </c>
      <c r="M363" s="130" t="n">
        <f aca="false">BACKUP!M496</f>
        <v>0</v>
      </c>
      <c r="N363" s="130" t="n">
        <f aca="false">BACKUP!N496</f>
        <v>0</v>
      </c>
      <c r="O363" s="130" t="n">
        <f aca="false">BACKUP!O496</f>
        <v>0</v>
      </c>
      <c r="P363" s="130" t="n">
        <f aca="false">SUM(D363:O363)</f>
        <v>0</v>
      </c>
      <c r="Q363" s="131" t="n">
        <f aca="false">SUM(D363:J363)</f>
        <v>0</v>
      </c>
      <c r="R363" s="130" t="n">
        <f aca="false">P363-Q363</f>
        <v>0</v>
      </c>
      <c r="S363" s="103"/>
      <c r="T363" s="103"/>
      <c r="U363" s="130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  <c r="AS363" s="103"/>
      <c r="AT363" s="103"/>
      <c r="AU363" s="103"/>
    </row>
    <row r="364" customFormat="false" ht="12.75" hidden="false" customHeight="false" outlineLevel="0" collapsed="false">
      <c r="A364" s="130" t="str">
        <f aca="false">BACKUP!A497</f>
        <v>   Ardmore (3/95), Lucent (11/98, 2/99), Black Marlin (3/99)</v>
      </c>
      <c r="B364" s="103"/>
      <c r="C364" s="118" t="s">
        <v>605</v>
      </c>
      <c r="D364" s="130" t="n">
        <f aca="false">BACKUP!D497</f>
        <v>0</v>
      </c>
      <c r="E364" s="130" t="n">
        <f aca="false">BACKUP!E497</f>
        <v>0</v>
      </c>
      <c r="F364" s="130" t="n">
        <f aca="false">BACKUP!F497</f>
        <v>0</v>
      </c>
      <c r="G364" s="130" t="n">
        <f aca="false">BACKUP!G497</f>
        <v>0</v>
      </c>
      <c r="H364" s="130" t="n">
        <f aca="false">BACKUP!H497</f>
        <v>0</v>
      </c>
      <c r="I364" s="130" t="n">
        <f aca="false">BACKUP!I497</f>
        <v>0</v>
      </c>
      <c r="J364" s="130" t="n">
        <f aca="false">BACKUP!J497</f>
        <v>0</v>
      </c>
      <c r="K364" s="130" t="n">
        <f aca="false">BACKUP!K497</f>
        <v>0</v>
      </c>
      <c r="L364" s="130" t="n">
        <f aca="false">BACKUP!L497</f>
        <v>0</v>
      </c>
      <c r="M364" s="130" t="n">
        <f aca="false">BACKUP!M497</f>
        <v>0</v>
      </c>
      <c r="N364" s="130" t="n">
        <f aca="false">BACKUP!N497</f>
        <v>0</v>
      </c>
      <c r="O364" s="130" t="n">
        <f aca="false">BACKUP!O497</f>
        <v>0</v>
      </c>
      <c r="P364" s="130" t="n">
        <f aca="false">SUM(D364:O364)</f>
        <v>0</v>
      </c>
      <c r="Q364" s="131" t="n">
        <f aca="false">SUM(D364:J364)</f>
        <v>0</v>
      </c>
      <c r="R364" s="130" t="n">
        <f aca="false">P364-Q364</f>
        <v>0</v>
      </c>
      <c r="S364" s="103"/>
      <c r="T364" s="103"/>
      <c r="U364" s="130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  <c r="AT364" s="103"/>
      <c r="AU364" s="103"/>
    </row>
    <row r="365" customFormat="false" ht="12.75" hidden="false" customHeight="false" outlineLevel="0" collapsed="false">
      <c r="A365" s="130" t="str">
        <f aca="false">BACKUP!A498</f>
        <v>   Act. / Est. Adjustment (Remove Overthrust 3/01)</v>
      </c>
      <c r="B365" s="103"/>
      <c r="C365" s="118"/>
      <c r="D365" s="143" t="n">
        <f aca="false">BACKUP!D498</f>
        <v>0</v>
      </c>
      <c r="E365" s="143" t="n">
        <f aca="false">BACKUP!E498</f>
        <v>0</v>
      </c>
      <c r="F365" s="143" t="n">
        <f aca="false">BACKUP!F498</f>
        <v>-4977</v>
      </c>
      <c r="G365" s="143" t="n">
        <f aca="false">BACKUP!G498</f>
        <v>0</v>
      </c>
      <c r="H365" s="143" t="n">
        <f aca="false">BACKUP!H498</f>
        <v>0</v>
      </c>
      <c r="I365" s="143" t="n">
        <f aca="false">BACKUP!I498</f>
        <v>0</v>
      </c>
      <c r="J365" s="143" t="n">
        <f aca="false">BACKUP!J498</f>
        <v>0</v>
      </c>
      <c r="K365" s="143" t="n">
        <f aca="false">BACKUP!K498</f>
        <v>0</v>
      </c>
      <c r="L365" s="143" t="n">
        <f aca="false">BACKUP!L498</f>
        <v>0</v>
      </c>
      <c r="M365" s="143" t="n">
        <f aca="false">BACKUP!M498</f>
        <v>0</v>
      </c>
      <c r="N365" s="143" t="n">
        <f aca="false">BACKUP!N498</f>
        <v>0</v>
      </c>
      <c r="O365" s="143" t="n">
        <f aca="false">BACKUP!O498</f>
        <v>0</v>
      </c>
      <c r="P365" s="130" t="n">
        <f aca="false">SUM(D365:O365)</f>
        <v>-4977</v>
      </c>
      <c r="Q365" s="131" t="n">
        <f aca="false">SUM(D365:J365)</f>
        <v>-4977</v>
      </c>
      <c r="R365" s="130" t="n">
        <f aca="false">P365-Q365</f>
        <v>0</v>
      </c>
      <c r="S365" s="103"/>
      <c r="T365" s="103"/>
      <c r="U365" s="130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  <c r="AT365" s="103"/>
      <c r="AU365" s="103"/>
    </row>
    <row r="366" customFormat="false" ht="3.95" hidden="false" customHeight="true" outlineLevel="0" collapsed="false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30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  <c r="AT366" s="103"/>
      <c r="AU366" s="103"/>
    </row>
    <row r="367" customFormat="false" ht="12.75" hidden="false" customHeight="false" outlineLevel="0" collapsed="false">
      <c r="A367" s="155" t="str">
        <f aca="false">BACKUP!A500</f>
        <v>Capitalization - End. Balance</v>
      </c>
      <c r="B367" s="103"/>
      <c r="C367" s="103"/>
      <c r="D367" s="143" t="n">
        <f aca="false">BACKUP!D500</f>
        <v>1107628</v>
      </c>
      <c r="E367" s="143" t="n">
        <f aca="false">BACKUP!E500</f>
        <v>1126280</v>
      </c>
      <c r="F367" s="143" t="n">
        <f aca="false">BACKUP!F500</f>
        <v>1138649</v>
      </c>
      <c r="G367" s="143" t="n">
        <f aca="false">BACKUP!G500</f>
        <v>1141747</v>
      </c>
      <c r="H367" s="143" t="n">
        <f aca="false">BACKUP!H500</f>
        <v>1142736</v>
      </c>
      <c r="I367" s="143" t="n">
        <f aca="false">BACKUP!I500</f>
        <v>1145702</v>
      </c>
      <c r="J367" s="143" t="n">
        <f aca="false">BACKUP!J500</f>
        <v>1147250</v>
      </c>
      <c r="K367" s="143" t="n">
        <f aca="false">BACKUP!K500</f>
        <v>1149724</v>
      </c>
      <c r="L367" s="143" t="n">
        <f aca="false">BACKUP!L500</f>
        <v>1150370</v>
      </c>
      <c r="M367" s="143" t="n">
        <f aca="false">BACKUP!M500</f>
        <v>1149185</v>
      </c>
      <c r="N367" s="143" t="n">
        <f aca="false">BACKUP!N500</f>
        <v>1165536</v>
      </c>
      <c r="O367" s="143" t="n">
        <f aca="false">BACKUP!O500</f>
        <v>1182292</v>
      </c>
      <c r="P367" s="103"/>
      <c r="Q367" s="103"/>
      <c r="R367" s="103"/>
      <c r="S367" s="103"/>
      <c r="T367" s="103"/>
      <c r="U367" s="130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</row>
    <row r="368" customFormat="false" ht="8.1" hidden="false" customHeight="true" outlineLevel="0" collapsed="false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30"/>
      <c r="U368" s="130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  <c r="AS368" s="103"/>
      <c r="AT368" s="103"/>
      <c r="AU368" s="103"/>
    </row>
    <row r="369" customFormat="false" ht="12.75" hidden="false" customHeight="false" outlineLevel="0" collapsed="false">
      <c r="A369" s="171" t="s">
        <v>606</v>
      </c>
      <c r="B369" s="171" t="s">
        <v>606</v>
      </c>
      <c r="C369" s="171" t="s">
        <v>606</v>
      </c>
      <c r="D369" s="171" t="s">
        <v>606</v>
      </c>
      <c r="E369" s="171" t="s">
        <v>606</v>
      </c>
      <c r="F369" s="171" t="s">
        <v>606</v>
      </c>
      <c r="G369" s="171" t="s">
        <v>606</v>
      </c>
      <c r="H369" s="171" t="s">
        <v>606</v>
      </c>
      <c r="I369" s="171" t="s">
        <v>606</v>
      </c>
      <c r="J369" s="171" t="s">
        <v>606</v>
      </c>
      <c r="K369" s="171" t="s">
        <v>606</v>
      </c>
      <c r="L369" s="171" t="s">
        <v>606</v>
      </c>
      <c r="M369" s="171" t="s">
        <v>606</v>
      </c>
      <c r="N369" s="171" t="s">
        <v>606</v>
      </c>
      <c r="O369" s="171" t="s">
        <v>606</v>
      </c>
      <c r="P369" s="171" t="s">
        <v>606</v>
      </c>
      <c r="Q369" s="103"/>
      <c r="R369" s="103"/>
      <c r="S369" s="103"/>
      <c r="T369" s="130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  <c r="AT369" s="103"/>
      <c r="AU369" s="103"/>
    </row>
    <row r="370" customFormat="false" ht="12.75" hidden="false" customHeight="false" outlineLevel="0" collapsed="false">
      <c r="A370" s="104" t="str">
        <f aca="false">A1</f>
        <v>'file:///mnt/12tb/@roms/datasets/enron/EDRM Enron Email Data Set v2 XML/filtered-attachments/xls/NNG3rdCECF.xls'#$BACKUP</v>
      </c>
      <c r="B370" s="100"/>
      <c r="C370" s="100" t="str">
        <f aca="false">I1</f>
        <v>NORTHERN NATURAL GAS GROUP</v>
      </c>
      <c r="D370" s="100"/>
      <c r="E370" s="100"/>
      <c r="F370" s="100"/>
      <c r="G370" s="100"/>
      <c r="H370" s="100"/>
      <c r="I370" s="100"/>
      <c r="J370" s="100"/>
      <c r="K370" s="103"/>
      <c r="L370" s="103"/>
      <c r="M370" s="199" t="n">
        <f aca="true">NOW()</f>
        <v>45926.9494835588</v>
      </c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</row>
    <row r="371" customFormat="false" ht="12.75" hidden="false" customHeight="false" outlineLevel="0" collapsed="false">
      <c r="A371" s="107" t="s">
        <v>607</v>
      </c>
      <c r="B371" s="100"/>
      <c r="C371" s="100" t="str">
        <f aca="false">I2</f>
        <v>CASH FLOW STATEMENT</v>
      </c>
      <c r="D371" s="100"/>
      <c r="E371" s="100"/>
      <c r="F371" s="100"/>
      <c r="G371" s="100"/>
      <c r="H371" s="100"/>
      <c r="I371" s="100"/>
      <c r="J371" s="100"/>
      <c r="K371" s="103"/>
      <c r="L371" s="103"/>
      <c r="M371" s="200" t="n">
        <f aca="true">NOW()</f>
        <v>45926.9494835589</v>
      </c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  <c r="AT371" s="103"/>
      <c r="AU371" s="103"/>
    </row>
    <row r="372" customFormat="false" ht="12.75" hidden="false" customHeight="false" outlineLevel="0" collapsed="false">
      <c r="A372" s="100"/>
      <c r="B372" s="100"/>
      <c r="C372" s="100" t="str">
        <f aca="false">I3</f>
        <v>2001 ACTUAL / ESTIMATE</v>
      </c>
      <c r="D372" s="100"/>
      <c r="E372" s="100"/>
      <c r="F372" s="100"/>
      <c r="G372" s="100"/>
      <c r="H372" s="100"/>
      <c r="I372" s="100"/>
      <c r="J372" s="100"/>
      <c r="K372" s="100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  <c r="AS372" s="103"/>
      <c r="AT372" s="103"/>
      <c r="AU372" s="103"/>
    </row>
    <row r="373" customFormat="false" ht="12.75" hidden="false" customHeight="false" outlineLevel="0" collapsed="false">
      <c r="A373" s="100"/>
      <c r="B373" s="100"/>
      <c r="C373" s="100" t="str">
        <f aca="false">I4</f>
        <v>(Thousands of Dollars)</v>
      </c>
      <c r="D373" s="100"/>
      <c r="E373" s="100"/>
      <c r="F373" s="100"/>
      <c r="G373" s="100"/>
      <c r="H373" s="100"/>
      <c r="I373" s="100"/>
      <c r="J373" s="100"/>
      <c r="K373" s="100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  <c r="AT373" s="103"/>
      <c r="AU373" s="103"/>
    </row>
    <row r="374" customFormat="false" ht="12.75" hidden="false" customHeight="false" outlineLevel="0" collapsed="false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  <c r="AT374" s="103"/>
      <c r="AU374" s="103"/>
    </row>
    <row r="375" customFormat="false" ht="12.75" hidden="false" customHeight="false" outlineLevel="0" collapsed="false">
      <c r="A375" s="100"/>
      <c r="B375" s="100"/>
      <c r="C375" s="100"/>
      <c r="D375" s="100"/>
      <c r="E375" s="100"/>
      <c r="F375" s="100"/>
      <c r="G375" s="100"/>
      <c r="H375" s="100"/>
      <c r="I375" s="156" t="s">
        <v>608</v>
      </c>
      <c r="J375" s="156"/>
      <c r="K375" s="156"/>
      <c r="L375" s="103"/>
      <c r="M375" s="120" t="s">
        <v>609</v>
      </c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  <c r="AS375" s="103"/>
      <c r="AT375" s="103"/>
      <c r="AU375" s="103"/>
    </row>
    <row r="376" customFormat="false" ht="12.95" hidden="false" customHeight="true" outlineLevel="0" collapsed="false">
      <c r="A376" s="100"/>
      <c r="B376" s="100"/>
      <c r="C376" s="100"/>
      <c r="D376" s="100"/>
      <c r="E376" s="100"/>
      <c r="F376" s="100"/>
      <c r="G376" s="100"/>
      <c r="H376" s="100"/>
      <c r="I376" s="126" t="s">
        <v>610</v>
      </c>
      <c r="J376" s="100"/>
      <c r="K376" s="126" t="s">
        <v>611</v>
      </c>
      <c r="L376" s="103"/>
      <c r="M376" s="126" t="s">
        <v>612</v>
      </c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</row>
    <row r="377" customFormat="false" ht="3.95" hidden="false" customHeight="true" outlineLevel="0" collapsed="false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</row>
    <row r="378" customFormat="false" ht="12.75" hidden="false" customHeight="false" outlineLevel="0" collapsed="false">
      <c r="A378" s="196" t="s">
        <v>613</v>
      </c>
      <c r="B378" s="103"/>
      <c r="C378" s="103"/>
      <c r="D378" s="103"/>
      <c r="E378" s="103"/>
      <c r="F378" s="103"/>
      <c r="G378" s="103"/>
      <c r="H378" s="103"/>
      <c r="I378" s="201" t="n">
        <f aca="false">T47</f>
        <v>38700</v>
      </c>
      <c r="J378" s="103"/>
      <c r="K378" s="201" t="e">
        <f aca="false">#REF!</f>
        <v>#REF!</v>
      </c>
      <c r="L378" s="103"/>
      <c r="M378" s="201" t="n">
        <f aca="false">T57</f>
        <v>38700</v>
      </c>
      <c r="N378" s="103"/>
      <c r="O378" s="103"/>
      <c r="P378" s="103"/>
      <c r="Q378" s="103"/>
      <c r="R378" s="103"/>
      <c r="S378" s="103"/>
      <c r="T378" s="130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</row>
    <row r="379" customFormat="false" ht="3.95" hidden="false" customHeight="true" outlineLevel="0" collapsed="false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</row>
    <row r="380" customFormat="false" ht="12.75" hidden="false" customHeight="false" outlineLevel="0" collapsed="false">
      <c r="A380" s="202" t="s">
        <v>614</v>
      </c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</row>
    <row r="381" customFormat="false" ht="12.75" hidden="false" customHeight="false" outlineLevel="0" collapsed="false">
      <c r="A381" s="103" t="str">
        <f aca="false">A9</f>
        <v>   Net Income </v>
      </c>
      <c r="B381" s="103"/>
      <c r="C381" s="103"/>
      <c r="D381" s="103"/>
      <c r="E381" s="103"/>
      <c r="F381" s="103"/>
      <c r="G381" s="130" t="n">
        <f aca="false">AK9</f>
        <v>-1583</v>
      </c>
      <c r="H381" s="103"/>
      <c r="I381" s="2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30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</row>
    <row r="382" customFormat="false" ht="12.75" hidden="false" customHeight="false" outlineLevel="0" collapsed="false">
      <c r="A382" s="103" t="str">
        <f aca="false">A11</f>
        <v>      Depreciation and Amortization</v>
      </c>
      <c r="B382" s="103"/>
      <c r="C382" s="103"/>
      <c r="D382" s="103"/>
      <c r="E382" s="103"/>
      <c r="F382" s="103"/>
      <c r="G382" s="130" t="n">
        <f aca="false">AK11</f>
        <v>-1685</v>
      </c>
      <c r="H382" s="103"/>
      <c r="I382" s="2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30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</row>
    <row r="383" customFormat="false" ht="12.75" hidden="false" customHeight="false" outlineLevel="0" collapsed="false">
      <c r="A383" s="103" t="str">
        <f aca="false">A12</f>
        <v>      Regulatory Amortization - TCR</v>
      </c>
      <c r="B383" s="203"/>
      <c r="C383" s="203"/>
      <c r="D383" s="103"/>
      <c r="E383" s="203"/>
      <c r="F383" s="103"/>
      <c r="G383" s="130" t="n">
        <f aca="false">AK12</f>
        <v>0</v>
      </c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</row>
    <row r="384" customFormat="false" ht="12.75" hidden="false" customHeight="false" outlineLevel="0" collapsed="false">
      <c r="A384" s="103" t="e">
        <f aca="false">#REF!</f>
        <v>#REF!</v>
      </c>
      <c r="B384" s="103"/>
      <c r="C384" s="103"/>
      <c r="D384" s="103"/>
      <c r="E384" s="103"/>
      <c r="F384" s="103"/>
      <c r="G384" s="130" t="e">
        <f aca="false">#REF!</f>
        <v>#REF!</v>
      </c>
      <c r="H384" s="103"/>
      <c r="I384" s="2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30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</row>
    <row r="385" customFormat="false" ht="12.75" hidden="false" customHeight="false" outlineLevel="0" collapsed="false">
      <c r="A385" s="103" t="str">
        <f aca="false">A13</f>
        <v>      Deferred Income Taxes - Both Current and Noncurrent </v>
      </c>
      <c r="B385" s="103"/>
      <c r="C385" s="103"/>
      <c r="D385" s="103"/>
      <c r="E385" s="103"/>
      <c r="F385" s="103"/>
      <c r="G385" s="130" t="n">
        <f aca="false">AK13</f>
        <v>11009</v>
      </c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</row>
    <row r="386" customFormat="false" ht="12.75" hidden="false" customHeight="false" outlineLevel="0" collapsed="false">
      <c r="A386" s="103" t="e">
        <f aca="false">#REF!</f>
        <v>#REF!</v>
      </c>
      <c r="B386" s="103"/>
      <c r="C386" s="103"/>
      <c r="D386" s="103"/>
      <c r="E386" s="103"/>
      <c r="F386" s="103"/>
      <c r="G386" s="130" t="e">
        <f aca="false">#REF!</f>
        <v>#REF!</v>
      </c>
      <c r="H386" s="103"/>
      <c r="I386" s="130" t="e">
        <f aca="false">SUM(G381:G386)</f>
        <v>#REF!</v>
      </c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</row>
    <row r="387" customFormat="false" ht="3.95" hidden="false" customHeight="true" outlineLevel="0" collapsed="false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  <c r="AT387" s="103"/>
      <c r="AU387" s="103"/>
    </row>
    <row r="388" customFormat="false" ht="12.75" hidden="false" customHeight="false" outlineLevel="0" collapsed="false">
      <c r="A388" s="202" t="s">
        <v>615</v>
      </c>
      <c r="B388" s="103"/>
      <c r="C388" s="103"/>
      <c r="D388" s="103"/>
      <c r="E388" s="103"/>
      <c r="F388" s="103"/>
      <c r="G388" s="130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</row>
    <row r="389" customFormat="false" ht="12.75" hidden="false" customHeight="false" outlineLevel="0" collapsed="false">
      <c r="A389" s="103" t="str">
        <f aca="false">A16</f>
        <v>      Accounts and Notes Receivable - Trade Only (6/01 Forward)</v>
      </c>
      <c r="B389" s="203"/>
      <c r="C389" s="203"/>
      <c r="D389" s="103"/>
      <c r="E389" s="103"/>
      <c r="F389" s="103"/>
      <c r="G389" s="130" t="n">
        <f aca="false">AK16</f>
        <v>-17616</v>
      </c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</row>
    <row r="390" customFormat="false" ht="12.75" hidden="false" customHeight="false" outlineLevel="0" collapsed="false">
      <c r="A390" s="103" t="str">
        <f aca="false">A17</f>
        <v>      Inventories</v>
      </c>
      <c r="B390" s="203"/>
      <c r="C390" s="203"/>
      <c r="D390" s="103"/>
      <c r="E390" s="103"/>
      <c r="F390" s="103"/>
      <c r="G390" s="130" t="n">
        <f aca="false">AK17</f>
        <v>1492</v>
      </c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  <c r="AT390" s="103"/>
      <c r="AU390" s="103"/>
    </row>
    <row r="391" customFormat="false" ht="12.75" hidden="false" customHeight="false" outlineLevel="0" collapsed="false">
      <c r="A391" s="103" t="str">
        <f aca="false">A18</f>
        <v>      Accounts Payable - Trade Only (6/01 Forward)</v>
      </c>
      <c r="B391" s="203"/>
      <c r="C391" s="203"/>
      <c r="D391" s="103"/>
      <c r="E391" s="103"/>
      <c r="F391" s="103"/>
      <c r="G391" s="130" t="n">
        <f aca="false">AK18</f>
        <v>-18378</v>
      </c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</row>
    <row r="392" customFormat="false" ht="12.75" hidden="false" customHeight="false" outlineLevel="0" collapsed="false">
      <c r="A392" s="103" t="str">
        <f aca="false">A20</f>
        <v>      Over / (Under) Recovered Gas Cost</v>
      </c>
      <c r="B392" s="203"/>
      <c r="C392" s="203"/>
      <c r="D392" s="103"/>
      <c r="E392" s="103"/>
      <c r="F392" s="103"/>
      <c r="G392" s="130" t="n">
        <f aca="false">AK20</f>
        <v>0</v>
      </c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  <c r="AT392" s="103"/>
      <c r="AU392" s="103"/>
    </row>
    <row r="393" customFormat="false" ht="12.75" hidden="false" customHeight="false" outlineLevel="0" collapsed="false">
      <c r="A393" s="103" t="str">
        <f aca="false">A21</f>
        <v>      Exchange Gas - Receivable</v>
      </c>
      <c r="B393" s="203"/>
      <c r="C393" s="203"/>
      <c r="D393" s="103"/>
      <c r="E393" s="103"/>
      <c r="F393" s="103"/>
      <c r="G393" s="130" t="n">
        <f aca="false">AK21</f>
        <v>38550</v>
      </c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  <c r="AT393" s="103"/>
      <c r="AU393" s="103"/>
    </row>
    <row r="394" customFormat="false" ht="12.75" hidden="false" customHeight="false" outlineLevel="0" collapsed="false">
      <c r="A394" s="103" t="str">
        <f aca="false">A23</f>
        <v>      Prepayments</v>
      </c>
      <c r="B394" s="203"/>
      <c r="C394" s="203"/>
      <c r="D394" s="103"/>
      <c r="E394" s="103"/>
      <c r="F394" s="103"/>
      <c r="G394" s="130" t="n">
        <f aca="false">AK23</f>
        <v>-1242</v>
      </c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</row>
    <row r="395" customFormat="false" ht="12.75" hidden="false" customHeight="false" outlineLevel="0" collapsed="false">
      <c r="A395" s="103" t="e">
        <f aca="false">#REF!</f>
        <v>#REF!</v>
      </c>
      <c r="B395" s="203"/>
      <c r="C395" s="203"/>
      <c r="D395" s="103"/>
      <c r="E395" s="103"/>
      <c r="F395" s="103"/>
      <c r="G395" s="130" t="e">
        <f aca="false">#REF!</f>
        <v>#REF!</v>
      </c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</row>
    <row r="396" customFormat="false" ht="12.75" hidden="false" customHeight="false" outlineLevel="0" collapsed="false">
      <c r="A396" s="103" t="str">
        <f aca="false">A24</f>
        <v>      Accrued Interest - Third Party</v>
      </c>
      <c r="B396" s="203"/>
      <c r="C396" s="203"/>
      <c r="D396" s="103"/>
      <c r="E396" s="103"/>
      <c r="F396" s="103"/>
      <c r="G396" s="130" t="n">
        <f aca="false">AK24</f>
        <v>0</v>
      </c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03"/>
      <c r="AO396" s="103"/>
      <c r="AP396" s="103"/>
      <c r="AQ396" s="103"/>
      <c r="AR396" s="103"/>
      <c r="AS396" s="103"/>
      <c r="AT396" s="103"/>
      <c r="AU396" s="103"/>
    </row>
    <row r="397" customFormat="false" ht="12.75" hidden="false" customHeight="false" outlineLevel="0" collapsed="false">
      <c r="A397" s="103" t="str">
        <f aca="false">A25</f>
        <v>      Accrued Taxes, other than income</v>
      </c>
      <c r="B397" s="203"/>
      <c r="C397" s="203"/>
      <c r="D397" s="103"/>
      <c r="E397" s="103"/>
      <c r="F397" s="103"/>
      <c r="G397" s="130" t="n">
        <f aca="false">AK25</f>
        <v>1145</v>
      </c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</row>
    <row r="398" customFormat="false" ht="12.75" hidden="false" customHeight="false" outlineLevel="0" collapsed="false">
      <c r="A398" s="103" t="str">
        <f aca="false">A26</f>
        <v>      Other Current Assets or Liabilities (W/O Reserve Activity)</v>
      </c>
      <c r="B398" s="203"/>
      <c r="C398" s="203"/>
      <c r="D398" s="103"/>
      <c r="E398" s="103"/>
      <c r="F398" s="103"/>
      <c r="G398" s="130" t="n">
        <f aca="false">AK26</f>
        <v>-9434</v>
      </c>
      <c r="H398" s="103"/>
      <c r="I398" s="130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  <c r="AT398" s="103"/>
      <c r="AU398" s="103"/>
    </row>
    <row r="399" customFormat="false" ht="6" hidden="false" customHeight="true" outlineLevel="0" collapsed="false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  <c r="AT399" s="103"/>
      <c r="AU399" s="103"/>
    </row>
    <row r="400" customFormat="false" ht="12.75" hidden="false" customHeight="false" outlineLevel="0" collapsed="false">
      <c r="A400" s="103" t="str">
        <f aca="false">A28</f>
        <v>   Deferred Severance / Relocation Charges</v>
      </c>
      <c r="B400" s="103"/>
      <c r="C400" s="103"/>
      <c r="D400" s="103"/>
      <c r="E400" s="103"/>
      <c r="F400" s="103"/>
      <c r="G400" s="130" t="n">
        <f aca="false">AK28</f>
        <v>0</v>
      </c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</row>
    <row r="401" customFormat="false" ht="12.75" hidden="false" customHeight="false" outlineLevel="0" collapsed="false">
      <c r="A401" s="103" t="e">
        <f aca="false">#REF!</f>
        <v>#REF!</v>
      </c>
      <c r="B401" s="103"/>
      <c r="C401" s="103"/>
      <c r="D401" s="103"/>
      <c r="E401" s="103"/>
      <c r="F401" s="103"/>
      <c r="G401" s="130" t="e">
        <f aca="false">#REF!</f>
        <v>#REF!</v>
      </c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</row>
    <row r="402" customFormat="false" ht="12.75" hidden="false" customHeight="false" outlineLevel="0" collapsed="false">
      <c r="A402" s="103" t="e">
        <f aca="false">#REF!</f>
        <v>#REF!</v>
      </c>
      <c r="B402" s="103"/>
      <c r="C402" s="103"/>
      <c r="D402" s="103"/>
      <c r="E402" s="103"/>
      <c r="F402" s="103"/>
      <c r="G402" s="130" t="e">
        <f aca="false">#REF!</f>
        <v>#REF!</v>
      </c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  <c r="AT402" s="103"/>
      <c r="AU402" s="103"/>
    </row>
    <row r="403" customFormat="false" ht="12.75" hidden="false" customHeight="false" outlineLevel="0" collapsed="false">
      <c r="A403" s="103" t="str">
        <f aca="false">A30</f>
        <v>   Equity Earnings</v>
      </c>
      <c r="B403" s="103"/>
      <c r="C403" s="103"/>
      <c r="D403" s="103"/>
      <c r="E403" s="103"/>
      <c r="F403" s="103"/>
      <c r="G403" s="130" t="n">
        <f aca="false">AK30</f>
        <v>-1124</v>
      </c>
      <c r="H403" s="103"/>
      <c r="I403" s="2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  <c r="AT403" s="103"/>
      <c r="AU403" s="103"/>
    </row>
    <row r="404" customFormat="false" ht="12.75" hidden="false" customHeight="false" outlineLevel="0" collapsed="false">
      <c r="A404" s="103" t="str">
        <f aca="false">A31</f>
        <v>   Equity / Partner. Distributions / Overthrust Sale (Book Basis)</v>
      </c>
      <c r="B404" s="103"/>
      <c r="C404" s="103"/>
      <c r="D404" s="103"/>
      <c r="E404" s="103"/>
      <c r="F404" s="103"/>
      <c r="G404" s="130" t="n">
        <f aca="false">AK31</f>
        <v>5000</v>
      </c>
      <c r="H404" s="103"/>
      <c r="I404" s="2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  <c r="AT404" s="103"/>
      <c r="AU404" s="103"/>
    </row>
    <row r="405" customFormat="false" ht="12.75" hidden="false" customHeight="false" outlineLevel="0" collapsed="false">
      <c r="A405" s="103" t="str">
        <f aca="false">A32</f>
        <v>   Net (Gain) / Loss on Sale of Assets</v>
      </c>
      <c r="B405" s="103"/>
      <c r="C405" s="103"/>
      <c r="D405" s="103"/>
      <c r="E405" s="103"/>
      <c r="F405" s="103"/>
      <c r="G405" s="130" t="n">
        <f aca="false">AK32</f>
        <v>7047</v>
      </c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  <c r="AT405" s="103"/>
      <c r="AU405" s="103"/>
    </row>
    <row r="406" customFormat="false" ht="12.75" hidden="false" customHeight="false" outlineLevel="0" collapsed="false">
      <c r="A406" s="103" t="str">
        <f aca="false">A33</f>
        <v>   Other Regulatory Assets / Liabilities</v>
      </c>
      <c r="B406" s="103"/>
      <c r="C406" s="103"/>
      <c r="D406" s="103"/>
      <c r="E406" s="103"/>
      <c r="F406" s="103"/>
      <c r="G406" s="130" t="n">
        <f aca="false">AK33</f>
        <v>2450</v>
      </c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</row>
    <row r="407" customFormat="false" ht="12.75" hidden="false" customHeight="false" outlineLevel="0" collapsed="false">
      <c r="A407" s="202" t="s">
        <v>616</v>
      </c>
      <c r="B407" s="103"/>
      <c r="C407" s="103"/>
      <c r="D407" s="103"/>
      <c r="E407" s="131" t="n">
        <v>0</v>
      </c>
      <c r="F407" s="103"/>
      <c r="G407" s="130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</row>
    <row r="408" customFormat="false" ht="12.75" hidden="false" customHeight="false" outlineLevel="0" collapsed="false">
      <c r="A408" s="202" t="s">
        <v>617</v>
      </c>
      <c r="B408" s="103"/>
      <c r="C408" s="103"/>
      <c r="D408" s="103"/>
      <c r="E408" s="130" t="n">
        <f aca="false">-P312-P313-P315+T312+T313+T315</f>
        <v>0</v>
      </c>
      <c r="F408" s="103"/>
      <c r="G408" s="130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  <c r="AT408" s="103"/>
      <c r="AU408" s="103"/>
    </row>
    <row r="409" customFormat="false" ht="12.75" hidden="false" customHeight="false" outlineLevel="0" collapsed="false">
      <c r="A409" s="202" t="s">
        <v>616</v>
      </c>
      <c r="B409" s="103"/>
      <c r="C409" s="103"/>
      <c r="D409" s="103"/>
      <c r="E409" s="131" t="n">
        <v>0</v>
      </c>
      <c r="F409" s="103"/>
      <c r="G409" s="130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</row>
    <row r="410" customFormat="false" ht="12.75" hidden="false" customHeight="false" outlineLevel="0" collapsed="false">
      <c r="A410" s="202" t="s">
        <v>618</v>
      </c>
      <c r="B410" s="103"/>
      <c r="C410" s="103"/>
      <c r="D410" s="103"/>
      <c r="E410" s="130" t="n">
        <f aca="false">-P308+T308</f>
        <v>0</v>
      </c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</row>
    <row r="411" customFormat="false" ht="12.75" hidden="false" customHeight="false" outlineLevel="0" collapsed="false">
      <c r="A411" s="202" t="s">
        <v>619</v>
      </c>
      <c r="B411" s="103"/>
      <c r="C411" s="103"/>
      <c r="D411" s="103"/>
      <c r="E411" s="130" t="n">
        <f aca="false">-P318+T318</f>
        <v>0</v>
      </c>
      <c r="F411" s="103"/>
      <c r="G411" s="130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  <c r="AT411" s="103"/>
      <c r="AU411" s="103"/>
    </row>
    <row r="412" customFormat="false" ht="12.75" hidden="false" customHeight="false" outlineLevel="0" collapsed="false">
      <c r="A412" s="202" t="s">
        <v>620</v>
      </c>
      <c r="B412" s="103"/>
      <c r="C412" s="103"/>
      <c r="D412" s="103"/>
      <c r="E412" s="130" t="e">
        <f aca="false">#REF!-#REF!</f>
        <v>#REF!</v>
      </c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  <c r="AT412" s="103"/>
      <c r="AU412" s="103"/>
    </row>
    <row r="413" customFormat="false" ht="12.75" hidden="false" customHeight="false" outlineLevel="0" collapsed="false">
      <c r="A413" s="202" t="s">
        <v>621</v>
      </c>
      <c r="B413" s="103"/>
      <c r="C413" s="103"/>
      <c r="D413" s="103"/>
      <c r="E413" s="130" t="e">
        <f aca="false">G413-SUM(E407:E412)</f>
        <v>#REF!</v>
      </c>
      <c r="F413" s="103"/>
      <c r="G413" s="143" t="n">
        <f aca="false">AK34</f>
        <v>1192</v>
      </c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  <c r="AT413" s="103"/>
      <c r="AU413" s="103"/>
    </row>
    <row r="414" customFormat="false" ht="12.75" hidden="false" customHeight="false" outlineLevel="0" collapsed="false">
      <c r="A414" s="202" t="s">
        <v>622</v>
      </c>
      <c r="B414" s="103"/>
      <c r="C414" s="103"/>
      <c r="D414" s="103"/>
      <c r="E414" s="103"/>
      <c r="F414" s="103"/>
      <c r="G414" s="103"/>
      <c r="H414" s="103"/>
      <c r="I414" s="130" t="e">
        <f aca="false">SUM(G386:G414)</f>
        <v>#REF!</v>
      </c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03"/>
      <c r="AO414" s="103"/>
      <c r="AP414" s="103"/>
      <c r="AQ414" s="103"/>
      <c r="AR414" s="103"/>
      <c r="AS414" s="103"/>
      <c r="AT414" s="103"/>
      <c r="AU414" s="103"/>
    </row>
    <row r="415" customFormat="false" ht="3.95" hidden="false" customHeight="true" outlineLevel="0" collapsed="false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03"/>
      <c r="AO415" s="103"/>
      <c r="AP415" s="103"/>
      <c r="AQ415" s="103"/>
      <c r="AR415" s="103"/>
      <c r="AS415" s="103"/>
      <c r="AT415" s="103"/>
      <c r="AU415" s="103"/>
    </row>
    <row r="416" customFormat="false" ht="12.75" hidden="false" customHeight="false" outlineLevel="0" collapsed="false">
      <c r="A416" s="103" t="str">
        <f aca="false">A38</f>
        <v>CASH FLOW FROM INVESTING ACTIVITIES</v>
      </c>
      <c r="B416" s="103"/>
      <c r="C416" s="103"/>
      <c r="D416" s="103"/>
      <c r="E416" s="103"/>
      <c r="F416" s="103"/>
      <c r="G416" s="130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03"/>
      <c r="AO416" s="103"/>
      <c r="AP416" s="103"/>
      <c r="AQ416" s="103"/>
      <c r="AR416" s="103"/>
      <c r="AS416" s="103"/>
      <c r="AT416" s="103"/>
      <c r="AU416" s="103"/>
    </row>
    <row r="417" customFormat="false" ht="12.75" hidden="false" customHeight="false" outlineLevel="0" collapsed="false">
      <c r="A417" s="103" t="str">
        <f aca="false">A39</f>
        <v>   Proceeds from Sale (Various)</v>
      </c>
      <c r="B417" s="103"/>
      <c r="C417" s="103"/>
      <c r="D417" s="103"/>
      <c r="E417" s="103"/>
      <c r="F417" s="103"/>
      <c r="G417" s="130" t="n">
        <f aca="false">AK39</f>
        <v>-1847</v>
      </c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03"/>
      <c r="AO417" s="103"/>
      <c r="AP417" s="103"/>
      <c r="AQ417" s="103"/>
      <c r="AR417" s="103"/>
      <c r="AS417" s="103"/>
      <c r="AT417" s="103"/>
      <c r="AU417" s="103"/>
    </row>
    <row r="418" customFormat="false" ht="12.75" hidden="false" customHeight="false" outlineLevel="0" collapsed="false">
      <c r="A418" s="103" t="str">
        <f aca="false">A40</f>
        <v>   Additions to Property </v>
      </c>
      <c r="B418" s="103"/>
      <c r="C418" s="103"/>
      <c r="D418" s="103"/>
      <c r="E418" s="103"/>
      <c r="F418" s="103"/>
      <c r="G418" s="130" t="n">
        <f aca="false">AK40</f>
        <v>9400</v>
      </c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  <c r="AT418" s="103"/>
      <c r="AU418" s="103"/>
    </row>
    <row r="419" customFormat="false" ht="12.75" hidden="false" customHeight="false" outlineLevel="0" collapsed="false">
      <c r="A419" s="103" t="str">
        <f aca="false">A41</f>
        <v>   Other Capital Expenditures</v>
      </c>
      <c r="B419" s="203"/>
      <c r="C419" s="203"/>
      <c r="D419" s="103"/>
      <c r="E419" s="103"/>
      <c r="F419" s="103"/>
      <c r="G419" s="130" t="n">
        <f aca="false">AK41</f>
        <v>-12963</v>
      </c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  <c r="AT419" s="103"/>
      <c r="AU419" s="103"/>
    </row>
    <row r="420" customFormat="false" ht="12.75" hidden="false" customHeight="false" outlineLevel="0" collapsed="false">
      <c r="A420" s="103" t="str">
        <f aca="false">A42</f>
        <v>   Other Investments (McDay Energy / Misc.)</v>
      </c>
      <c r="B420" s="203"/>
      <c r="C420" s="203"/>
      <c r="D420" s="103"/>
      <c r="E420" s="103"/>
      <c r="F420" s="103"/>
      <c r="G420" s="143" t="n">
        <f aca="false">AK42</f>
        <v>0</v>
      </c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  <c r="AT420" s="103"/>
      <c r="AU420" s="103"/>
    </row>
    <row r="421" customFormat="false" ht="12.75" hidden="false" customHeight="false" outlineLevel="0" collapsed="false">
      <c r="A421" s="103" t="str">
        <f aca="false">A45</f>
        <v>      Cash Provided by (Used in) Investing Activities</v>
      </c>
      <c r="B421" s="203"/>
      <c r="C421" s="203"/>
      <c r="D421" s="103"/>
      <c r="E421" s="203"/>
      <c r="F421" s="103"/>
      <c r="G421" s="103"/>
      <c r="H421" s="103"/>
      <c r="I421" s="143" t="n">
        <f aca="false">SUM(G416:G421)</f>
        <v>-5410</v>
      </c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</row>
    <row r="422" customFormat="false" ht="3.95" hidden="false" customHeight="true" outlineLevel="0" collapsed="false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03"/>
      <c r="AO422" s="103"/>
      <c r="AP422" s="103"/>
      <c r="AQ422" s="103"/>
      <c r="AR422" s="103"/>
      <c r="AS422" s="103"/>
      <c r="AT422" s="103"/>
      <c r="AU422" s="103"/>
    </row>
    <row r="423" customFormat="false" ht="12.75" hidden="false" customHeight="false" outlineLevel="0" collapsed="false">
      <c r="A423" s="100" t="str">
        <f aca="false">A47</f>
        <v>            Net Cash Flow Before Corporate Adjustments</v>
      </c>
      <c r="B423" s="103"/>
      <c r="C423" s="103"/>
      <c r="D423" s="130" t="n">
        <f aca="false">P47</f>
        <v>32481</v>
      </c>
      <c r="E423" s="103"/>
      <c r="F423" s="103"/>
      <c r="G423" s="103"/>
      <c r="H423" s="103"/>
      <c r="I423" s="201" t="e">
        <f aca="false">SUM(I378:I422)</f>
        <v>#REF!</v>
      </c>
      <c r="J423" s="103"/>
      <c r="K423" s="130" t="e">
        <f aca="false">I423-I378</f>
        <v>#REF!</v>
      </c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03"/>
      <c r="AO423" s="103"/>
      <c r="AP423" s="103"/>
      <c r="AQ423" s="103"/>
      <c r="AR423" s="103"/>
      <c r="AS423" s="103"/>
      <c r="AT423" s="103"/>
      <c r="AU423" s="103"/>
    </row>
    <row r="424" customFormat="false" ht="3.95" hidden="false" customHeight="true" outlineLevel="0" collapsed="false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  <c r="AT424" s="103"/>
      <c r="AU424" s="103"/>
    </row>
    <row r="425" customFormat="false" ht="12.75" hidden="false" customHeight="false" outlineLevel="0" collapsed="false">
      <c r="A425" s="103" t="e">
        <f aca="false">#REF!</f>
        <v>#REF!</v>
      </c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</row>
    <row r="426" customFormat="false" ht="12.75" hidden="false" customHeight="false" outlineLevel="0" collapsed="false">
      <c r="A426" s="103" t="e">
        <f aca="false">#REF!</f>
        <v>#REF!</v>
      </c>
      <c r="B426" s="203"/>
      <c r="C426" s="203"/>
      <c r="D426" s="103"/>
      <c r="E426" s="103"/>
      <c r="F426" s="103"/>
      <c r="G426" s="130" t="e">
        <f aca="false">#REF!</f>
        <v>#REF!</v>
      </c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03"/>
      <c r="AO426" s="103"/>
      <c r="AP426" s="103"/>
      <c r="AQ426" s="103"/>
      <c r="AR426" s="103"/>
      <c r="AS426" s="103"/>
      <c r="AT426" s="103"/>
      <c r="AU426" s="103"/>
    </row>
    <row r="427" customFormat="false" ht="12.75" hidden="false" customHeight="false" outlineLevel="0" collapsed="false">
      <c r="A427" s="103" t="e">
        <f aca="false">#REF!</f>
        <v>#REF!</v>
      </c>
      <c r="B427" s="103"/>
      <c r="C427" s="103"/>
      <c r="D427" s="103"/>
      <c r="E427" s="103"/>
      <c r="F427" s="103"/>
      <c r="G427" s="130" t="e">
        <f aca="false">#REF!</f>
        <v>#REF!</v>
      </c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  <c r="AT427" s="103"/>
      <c r="AU427" s="103"/>
    </row>
    <row r="428" customFormat="false" ht="12.75" hidden="false" customHeight="false" outlineLevel="0" collapsed="false">
      <c r="A428" s="103" t="str">
        <f aca="false">A19</f>
        <v>                    - Other</v>
      </c>
      <c r="B428" s="203"/>
      <c r="C428" s="203"/>
      <c r="D428" s="103"/>
      <c r="E428" s="103"/>
      <c r="F428" s="103"/>
      <c r="G428" s="143" t="n">
        <f aca="false">AK19</f>
        <v>6841</v>
      </c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03"/>
      <c r="AO428" s="103"/>
      <c r="AP428" s="103"/>
      <c r="AQ428" s="103"/>
      <c r="AR428" s="103"/>
      <c r="AS428" s="103"/>
      <c r="AT428" s="103"/>
      <c r="AU428" s="103"/>
    </row>
    <row r="429" customFormat="false" ht="12.75" hidden="false" customHeight="false" outlineLevel="0" collapsed="false">
      <c r="A429" s="103" t="e">
        <f aca="false">#REF!</f>
        <v>#REF!</v>
      </c>
      <c r="B429" s="103"/>
      <c r="C429" s="103"/>
      <c r="D429" s="103"/>
      <c r="E429" s="103"/>
      <c r="F429" s="103"/>
      <c r="G429" s="103"/>
      <c r="H429" s="103"/>
      <c r="I429" s="103"/>
      <c r="J429" s="103"/>
      <c r="K429" s="143" t="e">
        <f aca="false">SUM(G426:G428)</f>
        <v>#REF!</v>
      </c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03"/>
      <c r="AO429" s="103"/>
      <c r="AP429" s="103"/>
      <c r="AQ429" s="103"/>
      <c r="AR429" s="103"/>
      <c r="AS429" s="103"/>
      <c r="AT429" s="103"/>
      <c r="AU429" s="103"/>
    </row>
    <row r="430" customFormat="false" ht="3.95" hidden="false" customHeight="true" outlineLevel="0" collapsed="false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  <c r="AT430" s="103"/>
      <c r="AU430" s="103"/>
    </row>
    <row r="431" customFormat="false" ht="12.75" hidden="false" customHeight="false" outlineLevel="0" collapsed="false">
      <c r="A431" s="100" t="e">
        <f aca="false">#REF!</f>
        <v>#REF!</v>
      </c>
      <c r="B431" s="103"/>
      <c r="C431" s="103"/>
      <c r="D431" s="130" t="e">
        <f aca="false">#REF!</f>
        <v>#REF!</v>
      </c>
      <c r="E431" s="103"/>
      <c r="F431" s="103"/>
      <c r="G431" s="103"/>
      <c r="H431" s="103"/>
      <c r="I431" s="103"/>
      <c r="J431" s="103"/>
      <c r="K431" s="201" t="e">
        <f aca="false">SUM(K378:K429)</f>
        <v>#REF!</v>
      </c>
      <c r="L431" s="103"/>
      <c r="M431" s="130" t="e">
        <f aca="false">K431-K378</f>
        <v>#REF!</v>
      </c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  <c r="AT431" s="103"/>
      <c r="AU431" s="103"/>
    </row>
    <row r="432" customFormat="false" ht="3.95" hidden="false" customHeight="true" outlineLevel="0" collapsed="false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03"/>
      <c r="AO432" s="103"/>
      <c r="AP432" s="103"/>
      <c r="AQ432" s="103"/>
      <c r="AR432" s="103"/>
      <c r="AS432" s="103"/>
      <c r="AT432" s="103"/>
      <c r="AU432" s="103"/>
    </row>
    <row r="433" customFormat="false" ht="12.75" hidden="false" customHeight="false" outlineLevel="0" collapsed="false">
      <c r="A433" s="103" t="str">
        <f aca="false">A49</f>
        <v>OTHER ITEMS AFFECTING INTERCO. (CORP.) BALANCE</v>
      </c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  <c r="AT433" s="103"/>
      <c r="AU433" s="103"/>
    </row>
    <row r="434" customFormat="false" ht="12.75" hidden="false" customHeight="false" outlineLevel="0" collapsed="false">
      <c r="A434" s="103" t="str">
        <f aca="false">A50</f>
        <v>   Dividends Transferred to EPC </v>
      </c>
      <c r="B434" s="203"/>
      <c r="C434" s="203"/>
      <c r="D434" s="103"/>
      <c r="E434" s="103"/>
      <c r="F434" s="103"/>
      <c r="G434" s="130" t="n">
        <f aca="false">AK50</f>
        <v>0</v>
      </c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03"/>
      <c r="AO434" s="103"/>
      <c r="AP434" s="103"/>
      <c r="AQ434" s="103"/>
      <c r="AR434" s="103"/>
      <c r="AS434" s="103"/>
      <c r="AT434" s="103"/>
      <c r="AU434" s="103"/>
    </row>
    <row r="435" customFormat="false" ht="12.75" hidden="false" customHeight="false" outlineLevel="0" collapsed="false">
      <c r="A435" s="103" t="str">
        <f aca="false">A51</f>
        <v>   Inc. / (Dec.) in Long-Term Debt  (External)</v>
      </c>
      <c r="B435" s="203"/>
      <c r="C435" s="203"/>
      <c r="D435" s="103"/>
      <c r="E435" s="103"/>
      <c r="F435" s="103"/>
      <c r="G435" s="130" t="n">
        <f aca="false">AK51</f>
        <v>0</v>
      </c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03"/>
      <c r="AO435" s="103"/>
      <c r="AP435" s="103"/>
      <c r="AQ435" s="103"/>
      <c r="AR435" s="103"/>
      <c r="AS435" s="103"/>
      <c r="AT435" s="103"/>
      <c r="AU435" s="103"/>
    </row>
    <row r="436" customFormat="false" ht="12.75" hidden="false" customHeight="false" outlineLevel="0" collapsed="false">
      <c r="A436" s="103" t="str">
        <f aca="false">A52</f>
        <v>   Inc. / (Dec.) in Long-Term Debt Discount </v>
      </c>
      <c r="B436" s="103"/>
      <c r="C436" s="103"/>
      <c r="D436" s="103"/>
      <c r="E436" s="103"/>
      <c r="F436" s="103"/>
      <c r="G436" s="130" t="n">
        <f aca="false">AK52</f>
        <v>0</v>
      </c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</row>
    <row r="437" customFormat="false" ht="12.75" hidden="false" customHeight="false" outlineLevel="0" collapsed="false">
      <c r="A437" s="103" t="str">
        <f aca="false">A53</f>
        <v>   Contribution from Parent </v>
      </c>
      <c r="B437" s="103"/>
      <c r="C437" s="103"/>
      <c r="D437" s="103"/>
      <c r="E437" s="103"/>
      <c r="F437" s="103"/>
      <c r="G437" s="143" t="n">
        <f aca="false">AK53</f>
        <v>0</v>
      </c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  <c r="AT437" s="103"/>
      <c r="AU437" s="103"/>
    </row>
    <row r="438" customFormat="false" ht="12.75" hidden="false" customHeight="false" outlineLevel="0" collapsed="false">
      <c r="A438" s="103" t="str">
        <f aca="false">A55</f>
        <v>      Total Items Affecting Intercompany (Corp.) Balance</v>
      </c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43" t="n">
        <f aca="false">SUM(G434:G437)</f>
        <v>0</v>
      </c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/>
      <c r="AO438" s="103"/>
      <c r="AP438" s="103"/>
      <c r="AQ438" s="103"/>
      <c r="AR438" s="103"/>
      <c r="AS438" s="103"/>
      <c r="AT438" s="103"/>
      <c r="AU438" s="103"/>
    </row>
    <row r="439" customFormat="false" ht="6" hidden="false" customHeight="true" outlineLevel="0" collapsed="false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/>
      <c r="AO439" s="103"/>
      <c r="AP439" s="103"/>
      <c r="AQ439" s="103"/>
      <c r="AR439" s="103"/>
      <c r="AS439" s="103"/>
      <c r="AT439" s="103"/>
      <c r="AU439" s="103"/>
    </row>
    <row r="440" customFormat="false" ht="12.75" hidden="false" customHeight="false" outlineLevel="0" collapsed="false">
      <c r="A440" s="196" t="s">
        <v>500</v>
      </c>
      <c r="B440" s="103"/>
      <c r="C440" s="203"/>
      <c r="D440" s="130" t="n">
        <f aca="false">P57</f>
        <v>32481</v>
      </c>
      <c r="E440" s="203"/>
      <c r="F440" s="103"/>
      <c r="G440" s="130"/>
      <c r="H440" s="103"/>
      <c r="I440" s="103"/>
      <c r="J440" s="103"/>
      <c r="K440" s="103"/>
      <c r="L440" s="103"/>
      <c r="M440" s="204" t="e">
        <f aca="false">SUM(M378:M439)</f>
        <v>#REF!</v>
      </c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  <c r="AT440" s="103"/>
      <c r="AU440" s="103"/>
    </row>
    <row r="441" customFormat="false" ht="8.1" hidden="false" customHeight="true" outlineLevel="0" collapsed="false">
      <c r="A441" s="103"/>
      <c r="B441" s="203"/>
      <c r="C441" s="203"/>
      <c r="D441" s="103"/>
      <c r="E441" s="203"/>
      <c r="F441" s="103"/>
      <c r="G441" s="130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  <c r="AT441" s="103"/>
      <c r="AU441" s="103"/>
    </row>
    <row r="442" customFormat="false" ht="12.75" hidden="false" customHeight="false" outlineLevel="0" collapsed="false">
      <c r="A442" s="171" t="s">
        <v>606</v>
      </c>
      <c r="B442" s="171" t="s">
        <v>606</v>
      </c>
      <c r="C442" s="171" t="s">
        <v>606</v>
      </c>
      <c r="D442" s="171" t="s">
        <v>606</v>
      </c>
      <c r="E442" s="171" t="s">
        <v>606</v>
      </c>
      <c r="F442" s="171" t="s">
        <v>606</v>
      </c>
      <c r="G442" s="171" t="s">
        <v>606</v>
      </c>
      <c r="H442" s="171" t="s">
        <v>606</v>
      </c>
      <c r="I442" s="171" t="s">
        <v>606</v>
      </c>
      <c r="J442" s="171" t="s">
        <v>606</v>
      </c>
      <c r="K442" s="171" t="s">
        <v>606</v>
      </c>
      <c r="L442" s="171" t="s">
        <v>606</v>
      </c>
      <c r="M442" s="171" t="s">
        <v>606</v>
      </c>
      <c r="N442" s="171" t="s">
        <v>606</v>
      </c>
      <c r="O442" s="171" t="s">
        <v>606</v>
      </c>
      <c r="P442" s="171" t="s">
        <v>606</v>
      </c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</row>
    <row r="443" customFormat="false" ht="12.75" hidden="false" customHeight="false" outlineLevel="0" collapsed="false">
      <c r="A443" s="104" t="str">
        <f aca="false">A1</f>
        <v>'file:///mnt/12tb/@roms/datasets/enron/EDRM Enron Email Data Set v2 XML/filtered-attachments/xls/NNG3rdCECF.xls'#$BACKUP</v>
      </c>
      <c r="B443" s="100"/>
      <c r="C443" s="100" t="str">
        <f aca="false">I1</f>
        <v>NORTHERN NATURAL GAS GROUP</v>
      </c>
      <c r="D443" s="100"/>
      <c r="E443" s="100"/>
      <c r="F443" s="100"/>
      <c r="G443" s="100"/>
      <c r="H443" s="100"/>
      <c r="I443" s="100"/>
      <c r="J443" s="100"/>
      <c r="K443" s="103"/>
      <c r="L443" s="103"/>
      <c r="M443" s="199" t="n">
        <f aca="true">NOW()</f>
        <v>45926.9494835639</v>
      </c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</row>
    <row r="444" customFormat="false" ht="12.75" hidden="false" customHeight="false" outlineLevel="0" collapsed="false">
      <c r="A444" s="107" t="s">
        <v>623</v>
      </c>
      <c r="B444" s="100"/>
      <c r="C444" s="100" t="str">
        <f aca="false">I2</f>
        <v>CASH FLOW STATEMENT</v>
      </c>
      <c r="D444" s="100"/>
      <c r="E444" s="100"/>
      <c r="F444" s="100"/>
      <c r="G444" s="100"/>
      <c r="H444" s="100"/>
      <c r="I444" s="100"/>
      <c r="J444" s="100"/>
      <c r="K444" s="103"/>
      <c r="L444" s="103"/>
      <c r="M444" s="200" t="n">
        <f aca="true">NOW()</f>
        <v>45926.949483564</v>
      </c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  <c r="AT444" s="103"/>
      <c r="AU444" s="103"/>
    </row>
    <row r="445" customFormat="false" ht="12.75" hidden="false" customHeight="false" outlineLevel="0" collapsed="false">
      <c r="A445" s="100"/>
      <c r="B445" s="100"/>
      <c r="C445" s="100" t="str">
        <f aca="false">I3</f>
        <v>2001 ACTUAL / ESTIMATE</v>
      </c>
      <c r="D445" s="100"/>
      <c r="E445" s="100"/>
      <c r="F445" s="100"/>
      <c r="G445" s="100"/>
      <c r="H445" s="100"/>
      <c r="I445" s="100"/>
      <c r="J445" s="100"/>
      <c r="K445" s="100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</row>
    <row r="446" customFormat="false" ht="12.75" hidden="false" customHeight="false" outlineLevel="0" collapsed="false">
      <c r="A446" s="100"/>
      <c r="B446" s="100"/>
      <c r="C446" s="100" t="str">
        <f aca="false">I4</f>
        <v>(Thousands of Dollars)</v>
      </c>
      <c r="D446" s="100"/>
      <c r="E446" s="100"/>
      <c r="F446" s="100"/>
      <c r="G446" s="100"/>
      <c r="H446" s="100"/>
      <c r="I446" s="100"/>
      <c r="J446" s="100"/>
      <c r="K446" s="100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</row>
    <row r="447" customFormat="false" ht="12.75" hidden="false" customHeight="false" outlineLevel="0" collapsed="false">
      <c r="A447" s="10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</row>
    <row r="448" customFormat="false" ht="12.75" hidden="false" customHeight="false" outlineLevel="0" collapsed="false">
      <c r="A448" s="100"/>
      <c r="B448" s="100"/>
      <c r="C448" s="100"/>
      <c r="D448" s="100"/>
      <c r="E448" s="100"/>
      <c r="F448" s="100"/>
      <c r="G448" s="100"/>
      <c r="H448" s="100"/>
      <c r="I448" s="156" t="s">
        <v>608</v>
      </c>
      <c r="J448" s="156"/>
      <c r="K448" s="156"/>
      <c r="L448" s="103"/>
      <c r="M448" s="120" t="s">
        <v>609</v>
      </c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  <c r="AT448" s="103"/>
      <c r="AU448" s="103"/>
    </row>
    <row r="449" customFormat="false" ht="12.95" hidden="false" customHeight="true" outlineLevel="0" collapsed="false">
      <c r="A449" s="100"/>
      <c r="B449" s="100"/>
      <c r="C449" s="100"/>
      <c r="D449" s="100"/>
      <c r="E449" s="100"/>
      <c r="F449" s="100"/>
      <c r="G449" s="100"/>
      <c r="H449" s="100"/>
      <c r="I449" s="126" t="s">
        <v>610</v>
      </c>
      <c r="J449" s="100"/>
      <c r="K449" s="126" t="s">
        <v>611</v>
      </c>
      <c r="L449" s="103"/>
      <c r="M449" s="126" t="s">
        <v>612</v>
      </c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  <c r="AT449" s="103"/>
      <c r="AU449" s="103"/>
    </row>
    <row r="450" customFormat="false" ht="3.95" hidden="false" customHeight="true" outlineLevel="0" collapsed="false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  <c r="AT450" s="103"/>
      <c r="AU450" s="103"/>
    </row>
    <row r="451" customFormat="false" ht="12.75" hidden="false" customHeight="false" outlineLevel="0" collapsed="false">
      <c r="A451" s="196" t="s">
        <v>624</v>
      </c>
      <c r="B451" s="103"/>
      <c r="C451" s="103"/>
      <c r="D451" s="103"/>
      <c r="E451" s="103"/>
      <c r="F451" s="103"/>
      <c r="G451" s="103"/>
      <c r="H451" s="103"/>
      <c r="I451" s="201" t="n">
        <f aca="false">AM47</f>
        <v>19489</v>
      </c>
      <c r="J451" s="103"/>
      <c r="K451" s="201" t="e">
        <f aca="false">#REF!</f>
        <v>#REF!</v>
      </c>
      <c r="L451" s="103"/>
      <c r="M451" s="201" t="n">
        <f aca="false">AM57</f>
        <v>19489</v>
      </c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  <c r="AT451" s="103"/>
      <c r="AU451" s="103"/>
    </row>
    <row r="452" customFormat="false" ht="3.95" hidden="false" customHeight="true" outlineLevel="0" collapsed="false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</row>
    <row r="453" customFormat="false" ht="12.75" hidden="false" customHeight="false" outlineLevel="0" collapsed="false">
      <c r="A453" s="202" t="s">
        <v>614</v>
      </c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</row>
    <row r="454" customFormat="false" ht="12.75" hidden="false" customHeight="false" outlineLevel="0" collapsed="false">
      <c r="A454" s="103" t="str">
        <f aca="false">A9</f>
        <v>   Net Income </v>
      </c>
      <c r="B454" s="103"/>
      <c r="C454" s="103"/>
      <c r="D454" s="103"/>
      <c r="E454" s="103"/>
      <c r="F454" s="103"/>
      <c r="G454" s="130" t="n">
        <f aca="false">AN9</f>
        <v>-5078</v>
      </c>
      <c r="H454" s="103"/>
      <c r="I454" s="2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</row>
    <row r="455" customFormat="false" ht="12.75" hidden="false" customHeight="false" outlineLevel="0" collapsed="false">
      <c r="A455" s="103" t="str">
        <f aca="false">A11</f>
        <v>      Depreciation and Amortization</v>
      </c>
      <c r="B455" s="103"/>
      <c r="C455" s="103"/>
      <c r="D455" s="103"/>
      <c r="E455" s="103"/>
      <c r="F455" s="103"/>
      <c r="G455" s="130" t="n">
        <f aca="false">AN11</f>
        <v>-144</v>
      </c>
      <c r="H455" s="103"/>
      <c r="I455" s="2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</row>
    <row r="456" customFormat="false" ht="12.75" hidden="false" customHeight="false" outlineLevel="0" collapsed="false">
      <c r="A456" s="103" t="str">
        <f aca="false">A12</f>
        <v>      Regulatory Amortization - TCR</v>
      </c>
      <c r="B456" s="203"/>
      <c r="C456" s="203"/>
      <c r="D456" s="103"/>
      <c r="E456" s="203"/>
      <c r="F456" s="103"/>
      <c r="G456" s="130" t="n">
        <f aca="false">AN12</f>
        <v>0</v>
      </c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</row>
    <row r="457" customFormat="false" ht="12.75" hidden="false" customHeight="false" outlineLevel="0" collapsed="false">
      <c r="A457" s="103" t="e">
        <f aca="false">#REF!</f>
        <v>#REF!</v>
      </c>
      <c r="B457" s="103"/>
      <c r="C457" s="103"/>
      <c r="D457" s="103"/>
      <c r="E457" s="103"/>
      <c r="F457" s="103"/>
      <c r="G457" s="130" t="e">
        <f aca="false">#REF!</f>
        <v>#REF!</v>
      </c>
      <c r="H457" s="103"/>
      <c r="I457" s="2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</row>
    <row r="458" customFormat="false" ht="12.75" hidden="false" customHeight="false" outlineLevel="0" collapsed="false">
      <c r="A458" s="103" t="str">
        <f aca="false">A13</f>
        <v>      Deferred Income Taxes - Both Current and Noncurrent </v>
      </c>
      <c r="B458" s="103"/>
      <c r="C458" s="103"/>
      <c r="D458" s="103"/>
      <c r="E458" s="103"/>
      <c r="F458" s="103"/>
      <c r="G458" s="130" t="n">
        <f aca="false">AN13</f>
        <v>1696</v>
      </c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  <c r="AT458" s="103"/>
      <c r="AU458" s="103"/>
    </row>
    <row r="459" customFormat="false" ht="12.75" hidden="false" customHeight="false" outlineLevel="0" collapsed="false">
      <c r="A459" s="103" t="e">
        <f aca="false">#REF!</f>
        <v>#REF!</v>
      </c>
      <c r="B459" s="103"/>
      <c r="C459" s="103"/>
      <c r="D459" s="103"/>
      <c r="E459" s="103"/>
      <c r="F459" s="103"/>
      <c r="G459" s="130" t="e">
        <f aca="false">#REF!</f>
        <v>#REF!</v>
      </c>
      <c r="H459" s="103"/>
      <c r="I459" s="130" t="e">
        <f aca="false">SUM(G454:G459)</f>
        <v>#REF!</v>
      </c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  <c r="AT459" s="103"/>
      <c r="AU459" s="103"/>
    </row>
    <row r="460" customFormat="false" ht="3.95" hidden="false" customHeight="true" outlineLevel="0" collapsed="false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</row>
    <row r="461" customFormat="false" ht="12.75" hidden="false" customHeight="false" outlineLevel="0" collapsed="false">
      <c r="A461" s="202" t="s">
        <v>615</v>
      </c>
      <c r="B461" s="103"/>
      <c r="C461" s="103"/>
      <c r="D461" s="103"/>
      <c r="E461" s="103"/>
      <c r="F461" s="103"/>
      <c r="G461" s="130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  <c r="AT461" s="103"/>
      <c r="AU461" s="103"/>
    </row>
    <row r="462" customFormat="false" ht="12.75" hidden="false" customHeight="false" outlineLevel="0" collapsed="false">
      <c r="A462" s="103" t="str">
        <f aca="false">A16</f>
        <v>      Accounts and Notes Receivable - Trade Only (6/01 Forward)</v>
      </c>
      <c r="B462" s="203"/>
      <c r="C462" s="203"/>
      <c r="D462" s="103"/>
      <c r="E462" s="103"/>
      <c r="F462" s="103"/>
      <c r="G462" s="130" t="n">
        <f aca="false">AN16</f>
        <v>-140</v>
      </c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  <c r="AT462" s="103"/>
      <c r="AU462" s="103"/>
    </row>
    <row r="463" customFormat="false" ht="12.75" hidden="false" customHeight="false" outlineLevel="0" collapsed="false">
      <c r="A463" s="103" t="str">
        <f aca="false">A17</f>
        <v>      Inventories</v>
      </c>
      <c r="B463" s="205" t="s">
        <v>625</v>
      </c>
      <c r="C463" s="203"/>
      <c r="D463" s="103"/>
      <c r="E463" s="103"/>
      <c r="F463" s="103"/>
      <c r="G463" s="130" t="n">
        <f aca="false">AN17</f>
        <v>-1</v>
      </c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  <c r="AT463" s="103"/>
      <c r="AU463" s="103"/>
    </row>
    <row r="464" customFormat="false" ht="12.75" hidden="false" customHeight="false" outlineLevel="0" collapsed="false">
      <c r="A464" s="103" t="str">
        <f aca="false">A18</f>
        <v>      Accounts Payable - Trade Only (6/01 Forward)</v>
      </c>
      <c r="B464" s="203"/>
      <c r="C464" s="203"/>
      <c r="D464" s="103"/>
      <c r="E464" s="103"/>
      <c r="F464" s="103"/>
      <c r="G464" s="130" t="n">
        <f aca="false">AN18</f>
        <v>1182</v>
      </c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  <c r="AT464" s="103"/>
      <c r="AU464" s="103"/>
    </row>
    <row r="465" customFormat="false" ht="12.75" hidden="false" customHeight="false" outlineLevel="0" collapsed="false">
      <c r="A465" s="103" t="str">
        <f aca="false">A20</f>
        <v>      Over / (Under) Recovered Gas Cost</v>
      </c>
      <c r="B465" s="203"/>
      <c r="C465" s="203"/>
      <c r="D465" s="103"/>
      <c r="E465" s="103"/>
      <c r="F465" s="103"/>
      <c r="G465" s="130" t="n">
        <f aca="false">AN20</f>
        <v>0</v>
      </c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</row>
    <row r="466" customFormat="false" ht="12.75" hidden="false" customHeight="false" outlineLevel="0" collapsed="false">
      <c r="A466" s="103" t="str">
        <f aca="false">A21</f>
        <v>      Exchange Gas - Receivable</v>
      </c>
      <c r="B466" s="203"/>
      <c r="C466" s="203"/>
      <c r="D466" s="103"/>
      <c r="E466" s="103"/>
      <c r="F466" s="103"/>
      <c r="G466" s="130" t="n">
        <f aca="false">AN21</f>
        <v>15728</v>
      </c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</row>
    <row r="467" customFormat="false" ht="12.75" hidden="false" customHeight="false" outlineLevel="0" collapsed="false">
      <c r="A467" s="103" t="str">
        <f aca="false">A23</f>
        <v>      Prepayments</v>
      </c>
      <c r="B467" s="203"/>
      <c r="C467" s="203"/>
      <c r="D467" s="103"/>
      <c r="E467" s="103"/>
      <c r="F467" s="103"/>
      <c r="G467" s="130" t="n">
        <f aca="false">AN23</f>
        <v>-162</v>
      </c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</row>
    <row r="468" customFormat="false" ht="12.75" hidden="false" customHeight="false" outlineLevel="0" collapsed="false">
      <c r="A468" s="103" t="e">
        <f aca="false">#REF!</f>
        <v>#REF!</v>
      </c>
      <c r="B468" s="203"/>
      <c r="C468" s="203"/>
      <c r="D468" s="103"/>
      <c r="E468" s="103"/>
      <c r="F468" s="103"/>
      <c r="G468" s="130" t="e">
        <f aca="false">#REF!</f>
        <v>#REF!</v>
      </c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  <c r="AT468" s="103"/>
      <c r="AU468" s="103"/>
    </row>
    <row r="469" customFormat="false" ht="12.75" hidden="false" customHeight="false" outlineLevel="0" collapsed="false">
      <c r="A469" s="103" t="str">
        <f aca="false">A24</f>
        <v>      Accrued Interest - Third Party</v>
      </c>
      <c r="B469" s="203"/>
      <c r="C469" s="203"/>
      <c r="D469" s="103"/>
      <c r="E469" s="103"/>
      <c r="F469" s="103"/>
      <c r="G469" s="130" t="n">
        <f aca="false">AN24</f>
        <v>0</v>
      </c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</row>
    <row r="470" customFormat="false" ht="12.75" hidden="false" customHeight="false" outlineLevel="0" collapsed="false">
      <c r="A470" s="103" t="str">
        <f aca="false">A25</f>
        <v>      Accrued Taxes, other than income</v>
      </c>
      <c r="B470" s="203"/>
      <c r="C470" s="203"/>
      <c r="D470" s="103"/>
      <c r="E470" s="103"/>
      <c r="F470" s="103"/>
      <c r="G470" s="130" t="n">
        <f aca="false">AN25</f>
        <v>363</v>
      </c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  <c r="AT470" s="103"/>
      <c r="AU470" s="103"/>
    </row>
    <row r="471" customFormat="false" ht="12.75" hidden="false" customHeight="false" outlineLevel="0" collapsed="false">
      <c r="A471" s="103" t="str">
        <f aca="false">A26</f>
        <v>      Other Current Assets or Liabilities (W/O Reserve Activity)</v>
      </c>
      <c r="B471" s="203"/>
      <c r="C471" s="203"/>
      <c r="D471" s="103"/>
      <c r="E471" s="103"/>
      <c r="F471" s="103"/>
      <c r="G471" s="130" t="n">
        <f aca="false">AN26</f>
        <v>-3122</v>
      </c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  <c r="AT471" s="103"/>
      <c r="AU471" s="103"/>
    </row>
    <row r="472" customFormat="false" ht="6" hidden="false" customHeight="true" outlineLevel="0" collapsed="false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</row>
    <row r="473" customFormat="false" ht="12.75" hidden="false" customHeight="false" outlineLevel="0" collapsed="false">
      <c r="A473" s="103" t="str">
        <f aca="false">A28</f>
        <v>   Deferred Severance / Relocation Charges</v>
      </c>
      <c r="B473" s="103"/>
      <c r="C473" s="103"/>
      <c r="D473" s="103"/>
      <c r="E473" s="103"/>
      <c r="F473" s="103"/>
      <c r="G473" s="130" t="n">
        <f aca="false">AN28</f>
        <v>0</v>
      </c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</row>
    <row r="474" customFormat="false" ht="12.75" hidden="false" customHeight="false" outlineLevel="0" collapsed="false">
      <c r="A474" s="103" t="e">
        <f aca="false">#REF!</f>
        <v>#REF!</v>
      </c>
      <c r="B474" s="103"/>
      <c r="C474" s="103"/>
      <c r="D474" s="103"/>
      <c r="E474" s="103"/>
      <c r="F474" s="103"/>
      <c r="G474" s="130" t="e">
        <f aca="false">#REF!</f>
        <v>#REF!</v>
      </c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/>
      <c r="AO474" s="103"/>
      <c r="AP474" s="103"/>
      <c r="AQ474" s="103"/>
      <c r="AR474" s="103"/>
      <c r="AS474" s="103"/>
      <c r="AT474" s="103"/>
      <c r="AU474" s="103"/>
    </row>
    <row r="475" customFormat="false" ht="12.75" hidden="false" customHeight="false" outlineLevel="0" collapsed="false">
      <c r="A475" s="103" t="e">
        <f aca="false">#REF!</f>
        <v>#REF!</v>
      </c>
      <c r="B475" s="103"/>
      <c r="C475" s="103"/>
      <c r="D475" s="103"/>
      <c r="E475" s="103"/>
      <c r="F475" s="103"/>
      <c r="G475" s="130" t="e">
        <f aca="false">#REF!</f>
        <v>#REF!</v>
      </c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/>
      <c r="AO475" s="103"/>
      <c r="AP475" s="103"/>
      <c r="AQ475" s="103"/>
      <c r="AR475" s="103"/>
      <c r="AS475" s="103"/>
      <c r="AT475" s="103"/>
      <c r="AU475" s="103"/>
    </row>
    <row r="476" customFormat="false" ht="12.75" hidden="false" customHeight="false" outlineLevel="0" collapsed="false">
      <c r="A476" s="103" t="str">
        <f aca="false">A30</f>
        <v>   Equity Earnings</v>
      </c>
      <c r="B476" s="103"/>
      <c r="C476" s="103"/>
      <c r="D476" s="103"/>
      <c r="E476" s="103"/>
      <c r="F476" s="103"/>
      <c r="G476" s="130" t="n">
        <f aca="false">AN30</f>
        <v>23</v>
      </c>
      <c r="H476" s="103"/>
      <c r="I476" s="2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  <c r="AT476" s="103"/>
      <c r="AU476" s="103"/>
    </row>
    <row r="477" customFormat="false" ht="12.75" hidden="false" customHeight="false" outlineLevel="0" collapsed="false">
      <c r="A477" s="103" t="str">
        <f aca="false">A31</f>
        <v>   Equity / Partner. Distributions / Overthrust Sale (Book Basis)</v>
      </c>
      <c r="B477" s="103"/>
      <c r="C477" s="103"/>
      <c r="D477" s="103"/>
      <c r="E477" s="103"/>
      <c r="F477" s="103"/>
      <c r="G477" s="130" t="n">
        <f aca="false">AN31</f>
        <v>2000</v>
      </c>
      <c r="H477" s="103"/>
      <c r="I477" s="2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  <c r="AT477" s="103"/>
      <c r="AU477" s="103"/>
    </row>
    <row r="478" customFormat="false" ht="12.75" hidden="false" customHeight="false" outlineLevel="0" collapsed="false">
      <c r="A478" s="103" t="str">
        <f aca="false">A32</f>
        <v>   Net (Gain) / Loss on Sale of Assets</v>
      </c>
      <c r="B478" s="103"/>
      <c r="C478" s="103"/>
      <c r="D478" s="103"/>
      <c r="E478" s="103"/>
      <c r="F478" s="103"/>
      <c r="G478" s="130" t="n">
        <f aca="false">AN32</f>
        <v>7647</v>
      </c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  <c r="AT478" s="103"/>
      <c r="AU478" s="103"/>
    </row>
    <row r="479" customFormat="false" ht="12.75" hidden="false" customHeight="false" outlineLevel="0" collapsed="false">
      <c r="A479" s="103" t="str">
        <f aca="false">A33</f>
        <v>   Other Regulatory Assets / Liabilities</v>
      </c>
      <c r="B479" s="103"/>
      <c r="C479" s="103"/>
      <c r="D479" s="103"/>
      <c r="E479" s="103"/>
      <c r="F479" s="103"/>
      <c r="G479" s="130" t="n">
        <f aca="false">AN33</f>
        <v>4961</v>
      </c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  <c r="AT479" s="103"/>
      <c r="AU479" s="103"/>
    </row>
    <row r="480" customFormat="false" ht="12.75" hidden="false" customHeight="false" outlineLevel="0" collapsed="false">
      <c r="A480" s="206" t="s">
        <v>626</v>
      </c>
      <c r="B480" s="103"/>
      <c r="C480" s="103"/>
      <c r="D480" s="103"/>
      <c r="E480" s="131" t="n">
        <v>-18794</v>
      </c>
      <c r="F480" s="103"/>
      <c r="G480" s="130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  <c r="AT480" s="103"/>
      <c r="AU480" s="103"/>
    </row>
    <row r="481" customFormat="false" ht="12.75" hidden="false" customHeight="false" outlineLevel="0" collapsed="false">
      <c r="A481" s="103" t="str">
        <f aca="false">A408</f>
        <v>      - Severance (Involuntary / Voluntary) </v>
      </c>
      <c r="B481" s="103"/>
      <c r="C481" s="103"/>
      <c r="D481" s="103"/>
      <c r="E481" s="130" t="n">
        <f aca="false">-P312-P313-P315+U312+U313+U315</f>
        <v>0</v>
      </c>
      <c r="F481" s="103"/>
      <c r="G481" s="130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</row>
    <row r="482" customFormat="false" ht="12.75" hidden="false" customHeight="false" outlineLevel="0" collapsed="false">
      <c r="A482" s="206" t="s">
        <v>627</v>
      </c>
      <c r="B482" s="103"/>
      <c r="C482" s="103"/>
      <c r="D482" s="103"/>
      <c r="E482" s="131" t="n">
        <v>-23425</v>
      </c>
      <c r="F482" s="103"/>
      <c r="G482" s="130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  <c r="AT482" s="103"/>
      <c r="AU482" s="103"/>
    </row>
    <row r="483" customFormat="false" ht="12.75" hidden="false" customHeight="false" outlineLevel="0" collapsed="false">
      <c r="A483" s="103" t="str">
        <f aca="false">A410</f>
        <v>      - Unamortized Debt Expense</v>
      </c>
      <c r="B483" s="103"/>
      <c r="C483" s="103"/>
      <c r="D483" s="103"/>
      <c r="E483" s="130" t="n">
        <f aca="false">-P308+U308</f>
        <v>0</v>
      </c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  <c r="AT483" s="103"/>
      <c r="AU483" s="103"/>
    </row>
    <row r="484" customFormat="false" ht="12.75" hidden="false" customHeight="false" outlineLevel="0" collapsed="false">
      <c r="A484" s="103" t="str">
        <f aca="false">A411</f>
        <v>      - Other Deferred Charges (Actual Adjust.)</v>
      </c>
      <c r="B484" s="103"/>
      <c r="C484" s="103"/>
      <c r="D484" s="103"/>
      <c r="E484" s="130" t="n">
        <f aca="false">-P318+U318</f>
        <v>0</v>
      </c>
      <c r="F484" s="103"/>
      <c r="G484" s="130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</row>
    <row r="485" customFormat="false" ht="12.75" hidden="false" customHeight="false" outlineLevel="0" collapsed="false">
      <c r="A485" s="103" t="str">
        <f aca="false">A412</f>
        <v>      - Other Deferred Credits (Actual Adjust.)</v>
      </c>
      <c r="B485" s="103"/>
      <c r="C485" s="103"/>
      <c r="D485" s="103"/>
      <c r="E485" s="130" t="e">
        <f aca="false">#REF!-#REF!</f>
        <v>#REF!</v>
      </c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  <c r="AT485" s="103"/>
      <c r="AU485" s="103"/>
    </row>
    <row r="486" customFormat="false" ht="12.75" hidden="false" customHeight="false" outlineLevel="0" collapsed="false">
      <c r="A486" s="206" t="s">
        <v>628</v>
      </c>
      <c r="B486" s="103"/>
      <c r="C486" s="103"/>
      <c r="D486" s="103"/>
      <c r="E486" s="130" t="e">
        <f aca="false">G486-SUM(E480:E485)</f>
        <v>#REF!</v>
      </c>
      <c r="F486" s="103"/>
      <c r="G486" s="143" t="n">
        <f aca="false">AN34</f>
        <v>651</v>
      </c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</row>
    <row r="487" customFormat="false" ht="12.75" hidden="false" customHeight="false" outlineLevel="0" collapsed="false">
      <c r="A487" s="202" t="s">
        <v>622</v>
      </c>
      <c r="B487" s="103"/>
      <c r="C487" s="103"/>
      <c r="D487" s="103"/>
      <c r="E487" s="103"/>
      <c r="F487" s="103"/>
      <c r="G487" s="103"/>
      <c r="H487" s="103"/>
      <c r="I487" s="130" t="e">
        <f aca="false">SUM(G459:G487)</f>
        <v>#REF!</v>
      </c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  <c r="AT487" s="103"/>
      <c r="AU487" s="103"/>
    </row>
    <row r="488" customFormat="false" ht="3.95" hidden="false" customHeight="true" outlineLevel="0" collapsed="false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  <c r="AT488" s="103"/>
      <c r="AU488" s="103"/>
    </row>
    <row r="489" customFormat="false" ht="12.75" hidden="false" customHeight="false" outlineLevel="0" collapsed="false">
      <c r="A489" s="103" t="str">
        <f aca="false">A38</f>
        <v>CASH FLOW FROM INVESTING ACTIVITIES</v>
      </c>
      <c r="B489" s="103"/>
      <c r="C489" s="103"/>
      <c r="D489" s="103"/>
      <c r="E489" s="103"/>
      <c r="F489" s="103"/>
      <c r="G489" s="130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  <c r="AT489" s="103"/>
      <c r="AU489" s="103"/>
    </row>
    <row r="490" customFormat="false" ht="12.75" hidden="false" customHeight="false" outlineLevel="0" collapsed="false">
      <c r="A490" s="103" t="str">
        <f aca="false">A39</f>
        <v>   Proceeds from Sale (Various)</v>
      </c>
      <c r="B490" s="103"/>
      <c r="C490" s="103"/>
      <c r="D490" s="103"/>
      <c r="E490" s="103"/>
      <c r="F490" s="103"/>
      <c r="G490" s="130" t="n">
        <f aca="false">AN39</f>
        <v>-5847</v>
      </c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  <c r="AT490" s="103"/>
      <c r="AU490" s="103"/>
    </row>
    <row r="491" customFormat="false" ht="12.75" hidden="false" customHeight="false" outlineLevel="0" collapsed="false">
      <c r="A491" s="103" t="str">
        <f aca="false">A40</f>
        <v>   Additions to Property </v>
      </c>
      <c r="B491" s="103"/>
      <c r="C491" s="103"/>
      <c r="D491" s="103"/>
      <c r="E491" s="103"/>
      <c r="F491" s="103"/>
      <c r="G491" s="130" t="n">
        <f aca="false">AN40</f>
        <v>9400</v>
      </c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</row>
    <row r="492" customFormat="false" ht="12.75" hidden="false" customHeight="false" outlineLevel="0" collapsed="false">
      <c r="A492" s="103" t="str">
        <f aca="false">A41</f>
        <v>   Other Capital Expenditures</v>
      </c>
      <c r="B492" s="203"/>
      <c r="C492" s="203"/>
      <c r="D492" s="103"/>
      <c r="E492" s="103"/>
      <c r="F492" s="103"/>
      <c r="G492" s="130" t="n">
        <f aca="false">AN41</f>
        <v>5242</v>
      </c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  <c r="AT492" s="103"/>
      <c r="AU492" s="103"/>
    </row>
    <row r="493" customFormat="false" ht="12.75" hidden="false" customHeight="false" outlineLevel="0" collapsed="false">
      <c r="A493" s="103" t="str">
        <f aca="false">A42</f>
        <v>   Other Investments (McDay Energy / Misc.)</v>
      </c>
      <c r="B493" s="207" t="s">
        <v>629</v>
      </c>
      <c r="C493" s="203"/>
      <c r="D493" s="103"/>
      <c r="E493" s="103"/>
      <c r="F493" s="103"/>
      <c r="G493" s="143" t="n">
        <f aca="false">AN42</f>
        <v>0</v>
      </c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  <c r="AT493" s="103"/>
      <c r="AU493" s="103"/>
    </row>
    <row r="494" customFormat="false" ht="12.75" hidden="false" customHeight="false" outlineLevel="0" collapsed="false">
      <c r="A494" s="202" t="s">
        <v>630</v>
      </c>
      <c r="B494" s="203"/>
      <c r="C494" s="203"/>
      <c r="D494" s="103"/>
      <c r="E494" s="203"/>
      <c r="F494" s="103"/>
      <c r="G494" s="103"/>
      <c r="H494" s="103"/>
      <c r="I494" s="143" t="n">
        <f aca="false">SUM(G489:G494)</f>
        <v>8795</v>
      </c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</row>
    <row r="495" customFormat="false" ht="3.95" hidden="false" customHeight="true" outlineLevel="0" collapsed="false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  <c r="AT495" s="103"/>
      <c r="AU495" s="103"/>
    </row>
    <row r="496" customFormat="false" ht="12.75" hidden="false" customHeight="false" outlineLevel="0" collapsed="false">
      <c r="A496" s="100" t="str">
        <f aca="false">A47</f>
        <v>            Net Cash Flow Before Corporate Adjustments</v>
      </c>
      <c r="B496" s="103"/>
      <c r="C496" s="103"/>
      <c r="D496" s="130" t="n">
        <f aca="false">P47</f>
        <v>32481</v>
      </c>
      <c r="E496" s="103"/>
      <c r="F496" s="103"/>
      <c r="G496" s="103"/>
      <c r="H496" s="103"/>
      <c r="I496" s="201" t="e">
        <f aca="false">SUM(I451:I495)</f>
        <v>#REF!</v>
      </c>
      <c r="J496" s="103"/>
      <c r="K496" s="130" t="e">
        <f aca="false">I496-I451</f>
        <v>#REF!</v>
      </c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</row>
    <row r="497" customFormat="false" ht="3.95" hidden="false" customHeight="true" outlineLevel="0" collapsed="false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</row>
    <row r="498" customFormat="false" ht="12.75" hidden="false" customHeight="false" outlineLevel="0" collapsed="false">
      <c r="A498" s="103" t="e">
        <f aca="false">#REF!</f>
        <v>#REF!</v>
      </c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</row>
    <row r="499" customFormat="false" ht="12.75" hidden="false" customHeight="false" outlineLevel="0" collapsed="false">
      <c r="A499" s="103" t="e">
        <f aca="false">#REF!</f>
        <v>#REF!</v>
      </c>
      <c r="B499" s="203"/>
      <c r="C499" s="203"/>
      <c r="D499" s="103"/>
      <c r="E499" s="103"/>
      <c r="F499" s="103"/>
      <c r="G499" s="130" t="e">
        <f aca="false">#REF!</f>
        <v>#REF!</v>
      </c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  <c r="AT499" s="103"/>
      <c r="AU499" s="103"/>
    </row>
    <row r="500" customFormat="false" ht="12.75" hidden="false" customHeight="false" outlineLevel="0" collapsed="false">
      <c r="A500" s="103" t="e">
        <f aca="false">#REF!</f>
        <v>#REF!</v>
      </c>
      <c r="B500" s="103"/>
      <c r="C500" s="103"/>
      <c r="D500" s="103"/>
      <c r="E500" s="103"/>
      <c r="F500" s="103"/>
      <c r="G500" s="130" t="e">
        <f aca="false">#REF!</f>
        <v>#REF!</v>
      </c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  <c r="AT500" s="103"/>
      <c r="AU500" s="103"/>
    </row>
    <row r="501" customFormat="false" ht="12.75" hidden="false" customHeight="false" outlineLevel="0" collapsed="false">
      <c r="A501" s="103" t="str">
        <f aca="false">A19</f>
        <v>                    - Other</v>
      </c>
      <c r="B501" s="203"/>
      <c r="C501" s="203"/>
      <c r="D501" s="103"/>
      <c r="E501" s="103"/>
      <c r="F501" s="103"/>
      <c r="G501" s="143" t="n">
        <f aca="false">AN19</f>
        <v>-366</v>
      </c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  <c r="AT501" s="103"/>
      <c r="AU501" s="103"/>
    </row>
    <row r="502" customFormat="false" ht="12.75" hidden="false" customHeight="false" outlineLevel="0" collapsed="false">
      <c r="A502" s="103" t="e">
        <f aca="false">#REF!</f>
        <v>#REF!</v>
      </c>
      <c r="B502" s="103"/>
      <c r="C502" s="103"/>
      <c r="D502" s="103"/>
      <c r="E502" s="103"/>
      <c r="F502" s="103"/>
      <c r="G502" s="103"/>
      <c r="H502" s="103"/>
      <c r="I502" s="103"/>
      <c r="J502" s="103"/>
      <c r="K502" s="143" t="e">
        <f aca="false">SUM(G499:G501)</f>
        <v>#REF!</v>
      </c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  <c r="AT502" s="103"/>
      <c r="AU502" s="103"/>
    </row>
    <row r="503" customFormat="false" ht="3.95" hidden="false" customHeight="true" outlineLevel="0" collapsed="false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</row>
    <row r="504" customFormat="false" ht="12.75" hidden="false" customHeight="false" outlineLevel="0" collapsed="false">
      <c r="A504" s="100" t="e">
        <f aca="false">#REF!</f>
        <v>#REF!</v>
      </c>
      <c r="B504" s="103"/>
      <c r="C504" s="103"/>
      <c r="D504" s="130" t="e">
        <f aca="false">#REF!</f>
        <v>#REF!</v>
      </c>
      <c r="E504" s="103"/>
      <c r="F504" s="103"/>
      <c r="G504" s="103"/>
      <c r="H504" s="103"/>
      <c r="I504" s="201"/>
      <c r="J504" s="103"/>
      <c r="K504" s="201" t="e">
        <f aca="false">SUM(K451:K502)</f>
        <v>#REF!</v>
      </c>
      <c r="L504" s="103"/>
      <c r="M504" s="130" t="e">
        <f aca="false">K504-K451</f>
        <v>#REF!</v>
      </c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  <c r="AT504" s="103"/>
      <c r="AU504" s="103"/>
    </row>
    <row r="505" customFormat="false" ht="3.95" hidden="false" customHeight="true" outlineLevel="0" collapsed="false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</row>
    <row r="506" customFormat="false" ht="12.75" hidden="false" customHeight="false" outlineLevel="0" collapsed="false">
      <c r="A506" s="103" t="str">
        <f aca="false">A49</f>
        <v>OTHER ITEMS AFFECTING INTERCO. (CORP.) BALANCE</v>
      </c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  <c r="AT506" s="103"/>
      <c r="AU506" s="103"/>
    </row>
    <row r="507" customFormat="false" ht="12.75" hidden="false" customHeight="false" outlineLevel="0" collapsed="false">
      <c r="A507" s="103" t="str">
        <f aca="false">A50</f>
        <v>   Dividends Transferred to EPC </v>
      </c>
      <c r="B507" s="203"/>
      <c r="C507" s="203"/>
      <c r="D507" s="103"/>
      <c r="E507" s="103"/>
      <c r="F507" s="103"/>
      <c r="G507" s="130" t="n">
        <f aca="false">AN50</f>
        <v>0</v>
      </c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  <c r="AT507" s="103"/>
      <c r="AU507" s="103"/>
    </row>
    <row r="508" customFormat="false" ht="12.75" hidden="false" customHeight="false" outlineLevel="0" collapsed="false">
      <c r="A508" s="103" t="str">
        <f aca="false">A51</f>
        <v>   Inc. / (Dec.) in Long-Term Debt  (External)</v>
      </c>
      <c r="B508" s="203"/>
      <c r="C508" s="203"/>
      <c r="D508" s="103"/>
      <c r="E508" s="103"/>
      <c r="F508" s="103"/>
      <c r="G508" s="130" t="n">
        <f aca="false">AN51</f>
        <v>0</v>
      </c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</row>
    <row r="509" customFormat="false" ht="12.75" hidden="false" customHeight="false" outlineLevel="0" collapsed="false">
      <c r="A509" s="103" t="str">
        <f aca="false">A52</f>
        <v>   Inc. / (Dec.) in Long-Term Debt Discount </v>
      </c>
      <c r="B509" s="103"/>
      <c r="C509" s="103"/>
      <c r="D509" s="103"/>
      <c r="E509" s="103"/>
      <c r="F509" s="103"/>
      <c r="G509" s="130" t="n">
        <f aca="false">AN52</f>
        <v>0</v>
      </c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</row>
    <row r="510" customFormat="false" ht="12.75" hidden="false" customHeight="false" outlineLevel="0" collapsed="false">
      <c r="A510" s="103" t="str">
        <f aca="false">A53</f>
        <v>   Contribution from Parent </v>
      </c>
      <c r="B510" s="103"/>
      <c r="C510" s="103"/>
      <c r="D510" s="103"/>
      <c r="E510" s="103"/>
      <c r="F510" s="103"/>
      <c r="G510" s="143" t="n">
        <f aca="false">AN53</f>
        <v>0</v>
      </c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</row>
    <row r="511" customFormat="false" ht="12.75" hidden="false" customHeight="false" outlineLevel="0" collapsed="false">
      <c r="A511" s="103" t="str">
        <f aca="false">A55</f>
        <v>      Total Items Affecting Intercompany (Corp.) Balance</v>
      </c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43" t="n">
        <f aca="false">SUM(G507:G510)</f>
        <v>0</v>
      </c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  <c r="AT511" s="103"/>
      <c r="AU511" s="103"/>
    </row>
    <row r="512" customFormat="false" ht="6" hidden="false" customHeight="true" outlineLevel="0" collapsed="false">
      <c r="A512" s="103"/>
      <c r="B512" s="203"/>
      <c r="C512" s="203"/>
      <c r="D512" s="103"/>
      <c r="E512" s="203"/>
      <c r="F512" s="103"/>
      <c r="G512" s="130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  <c r="AT512" s="103"/>
      <c r="AU512" s="103"/>
    </row>
    <row r="513" customFormat="false" ht="12.75" hidden="false" customHeight="false" outlineLevel="0" collapsed="false">
      <c r="A513" s="196" t="s">
        <v>500</v>
      </c>
      <c r="B513" s="103"/>
      <c r="C513" s="203"/>
      <c r="D513" s="130" t="n">
        <f aca="false">P57</f>
        <v>32481</v>
      </c>
      <c r="E513" s="203"/>
      <c r="F513" s="103"/>
      <c r="G513" s="130"/>
      <c r="H513" s="103"/>
      <c r="I513" s="103"/>
      <c r="J513" s="103"/>
      <c r="K513" s="103"/>
      <c r="L513" s="103"/>
      <c r="M513" s="204" t="e">
        <f aca="false">SUM(M451:M512)</f>
        <v>#REF!</v>
      </c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  <c r="AT513" s="103"/>
      <c r="AU513" s="103"/>
    </row>
    <row r="514" customFormat="false" ht="8.1" hidden="false" customHeight="true" outlineLevel="0" collapsed="false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</row>
    <row r="517" customFormat="false" ht="12.75" hidden="false" customHeight="false" outlineLevel="0" collapsed="false">
      <c r="B517" s="208" t="s">
        <v>631</v>
      </c>
      <c r="C517" s="208" t="s">
        <v>632</v>
      </c>
    </row>
    <row r="518" customFormat="false" ht="12.75" hidden="false" customHeight="false" outlineLevel="0" collapsed="false">
      <c r="C518" s="208" t="s">
        <v>633</v>
      </c>
    </row>
  </sheetData>
  <mergeCells count="50">
    <mergeCell ref="I1:L1"/>
    <mergeCell ref="AD1:AH1"/>
    <mergeCell ref="I2:L2"/>
    <mergeCell ref="AD2:AH2"/>
    <mergeCell ref="I3:L3"/>
    <mergeCell ref="AD3:AH3"/>
    <mergeCell ref="I4:L4"/>
    <mergeCell ref="AD4:AH4"/>
    <mergeCell ref="AJ6:AK6"/>
    <mergeCell ref="AM6:AN6"/>
    <mergeCell ref="AP6:AQ6"/>
    <mergeCell ref="I64:L64"/>
    <mergeCell ref="AD64:AG64"/>
    <mergeCell ref="I65:L65"/>
    <mergeCell ref="AD65:AG65"/>
    <mergeCell ref="I66:L66"/>
    <mergeCell ref="AD66:AG66"/>
    <mergeCell ref="I67:L67"/>
    <mergeCell ref="AD67:AG67"/>
    <mergeCell ref="AJ69:AK69"/>
    <mergeCell ref="AM69:AN69"/>
    <mergeCell ref="AP69:AQ69"/>
    <mergeCell ref="I120:L120"/>
    <mergeCell ref="AD120:AG120"/>
    <mergeCell ref="I121:L121"/>
    <mergeCell ref="AD121:AG121"/>
    <mergeCell ref="I122:L122"/>
    <mergeCell ref="AD122:AG122"/>
    <mergeCell ref="I123:L123"/>
    <mergeCell ref="AD123:AG123"/>
    <mergeCell ref="AJ125:AK125"/>
    <mergeCell ref="AM125:AN125"/>
    <mergeCell ref="AP125:AQ125"/>
    <mergeCell ref="I187:U187"/>
    <mergeCell ref="AD187:AG187"/>
    <mergeCell ref="I188:U188"/>
    <mergeCell ref="AD188:AG188"/>
    <mergeCell ref="I189:U189"/>
    <mergeCell ref="AD189:AG189"/>
    <mergeCell ref="I190:U190"/>
    <mergeCell ref="AD190:AG190"/>
    <mergeCell ref="AJ192:AK192"/>
    <mergeCell ref="AM192:AN192"/>
    <mergeCell ref="AP192:AQ192"/>
    <mergeCell ref="I248:L248"/>
    <mergeCell ref="I249:L249"/>
    <mergeCell ref="I250:L250"/>
    <mergeCell ref="I251:L251"/>
    <mergeCell ref="I375:K375"/>
    <mergeCell ref="I448:K448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PrintMacro.PrintCashFlow">
                <anchor moveWithCells="true" sizeWithCells="false">
                  <from>
                    <xdr:col>0</xdr:col>
                    <xdr:colOff>1560600</xdr:colOff>
                    <xdr:row>2</xdr:row>
                    <xdr:rowOff>104760</xdr:rowOff>
                  </from>
                  <to>
                    <xdr:col>1</xdr:col>
                    <xdr:colOff>81000</xdr:colOff>
                    <xdr:row>5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98" width="40.7"/>
    <col collapsed="false" customWidth="true" hidden="false" outlineLevel="0" max="3" min="2" style="98" width="8.7"/>
    <col collapsed="false" customWidth="true" hidden="false" outlineLevel="0" max="17" min="4" style="98" width="9.7"/>
    <col collapsed="false" customWidth="false" hidden="false" outlineLevel="0" max="18" min="18" style="98" width="10.71"/>
    <col collapsed="false" customWidth="true" hidden="false" outlineLevel="0" max="19" min="19" style="98" width="4.7"/>
    <col collapsed="false" customWidth="true" hidden="false" outlineLevel="0" max="22" min="20" style="98" width="9.7"/>
    <col collapsed="false" customWidth="true" hidden="false" outlineLevel="0" max="26" min="23" style="98" width="1.7"/>
    <col collapsed="false" customWidth="true" hidden="false" outlineLevel="0" max="27" min="27" style="98" width="40.7"/>
    <col collapsed="false" customWidth="true" hidden="false" outlineLevel="0" max="29" min="28" style="98" width="8.7"/>
    <col collapsed="false" customWidth="true" hidden="false" outlineLevel="0" max="43" min="30" style="98" width="9.7"/>
    <col collapsed="false" customWidth="false" hidden="false" outlineLevel="0" max="44" min="44" style="98" width="10.71"/>
    <col collapsed="false" customWidth="true" hidden="false" outlineLevel="0" max="45" min="45" style="98" width="4.7"/>
    <col collapsed="false" customWidth="true" hidden="false" outlineLevel="0" max="48" min="46" style="98" width="9.7"/>
    <col collapsed="false" customWidth="false" hidden="false" outlineLevel="0" max="257" min="49" style="98" width="10.71"/>
  </cols>
  <sheetData>
    <row r="1" customFormat="false" ht="12.75" hidden="false" customHeight="false" outlineLevel="0" collapsed="false">
      <c r="A1" s="99" t="str">
        <f aca="false">BACKUP!A1</f>
        <v>'file:///mnt/12tb/@roms/datasets/enron/EDRM Enron Email Data Set v2 XML/filtered-attachments/xls/NNG3rdCECF.xls'#$BACKUP</v>
      </c>
      <c r="H1" s="105" t="str">
        <f aca="false">BALSHEET!AE1</f>
        <v>TRAILBLAZER &amp; OVERTHRUST PIPELINES</v>
      </c>
      <c r="I1" s="105"/>
      <c r="J1" s="105"/>
      <c r="K1" s="105"/>
      <c r="L1" s="105"/>
      <c r="M1" s="105"/>
      <c r="V1" s="209" t="n">
        <f aca="true">NOW()</f>
        <v>45926.949483591</v>
      </c>
      <c r="AA1" s="104" t="str">
        <f aca="false">A1</f>
        <v>'file:///mnt/12tb/@roms/datasets/enron/EDRM Enron Email Data Set v2 XML/filtered-attachments/xls/NNG3rdCECF.xls'#$BACKUP</v>
      </c>
      <c r="AB1" s="103"/>
      <c r="AC1" s="103"/>
      <c r="AD1" s="103"/>
      <c r="AE1" s="103"/>
      <c r="AF1" s="103"/>
      <c r="AG1" s="103"/>
      <c r="AH1" s="4" t="s">
        <v>634</v>
      </c>
      <c r="AI1" s="4"/>
      <c r="AJ1" s="4"/>
      <c r="AK1" s="4"/>
      <c r="AL1" s="4"/>
      <c r="AM1" s="4"/>
      <c r="AN1" s="103"/>
      <c r="AO1" s="103"/>
      <c r="AP1" s="103"/>
      <c r="AQ1" s="103"/>
      <c r="AR1" s="103"/>
      <c r="AS1" s="103"/>
      <c r="AT1" s="103"/>
      <c r="AU1" s="103"/>
      <c r="AV1" s="209" t="n">
        <f aca="true">NOW()</f>
        <v>45926.9494835912</v>
      </c>
    </row>
    <row r="2" customFormat="false" ht="12.75" hidden="false" customHeight="true" outlineLevel="0" collapsed="false">
      <c r="A2" s="107" t="s">
        <v>635</v>
      </c>
      <c r="B2" s="103"/>
      <c r="C2" s="103"/>
      <c r="H2" s="103"/>
      <c r="I2" s="108" t="s">
        <v>536</v>
      </c>
      <c r="J2" s="108"/>
      <c r="K2" s="108"/>
      <c r="L2" s="108"/>
      <c r="M2" s="172"/>
      <c r="N2" s="172"/>
      <c r="O2" s="172"/>
      <c r="P2" s="172"/>
      <c r="Q2" s="153"/>
      <c r="R2" s="103"/>
      <c r="S2" s="103"/>
      <c r="T2" s="103"/>
      <c r="U2" s="103"/>
      <c r="V2" s="109" t="n">
        <f aca="true">NOW()</f>
        <v>45926.9494835912</v>
      </c>
      <c r="W2" s="103"/>
      <c r="X2" s="103"/>
      <c r="Y2" s="103"/>
      <c r="Z2" s="103"/>
      <c r="AA2" s="107" t="s">
        <v>636</v>
      </c>
      <c r="AB2" s="103"/>
      <c r="AC2" s="103"/>
      <c r="AD2" s="103"/>
      <c r="AE2" s="103"/>
      <c r="AF2" s="103"/>
      <c r="AG2" s="103"/>
      <c r="AH2" s="103"/>
      <c r="AI2" s="105" t="str">
        <f aca="false">I2</f>
        <v>FUNDS FLOW STATEMENT</v>
      </c>
      <c r="AJ2" s="105"/>
      <c r="AK2" s="105"/>
      <c r="AL2" s="105"/>
      <c r="AM2" s="103"/>
      <c r="AN2" s="103"/>
      <c r="AO2" s="103"/>
      <c r="AP2" s="103"/>
      <c r="AQ2" s="103"/>
      <c r="AR2" s="103"/>
      <c r="AS2" s="103"/>
      <c r="AT2" s="103"/>
      <c r="AU2" s="103"/>
      <c r="AV2" s="109" t="n">
        <f aca="true">NOW()</f>
        <v>45926.9494835913</v>
      </c>
    </row>
    <row r="3" customFormat="false" ht="12.75" hidden="false" customHeight="true" outlineLevel="0" collapsed="false">
      <c r="A3" s="103"/>
      <c r="B3" s="103"/>
      <c r="C3" s="103"/>
      <c r="D3" s="120"/>
      <c r="E3" s="153"/>
      <c r="F3" s="153"/>
      <c r="G3" s="153"/>
      <c r="H3" s="103"/>
      <c r="I3" s="105" t="str">
        <f aca="false">CASHFLOW!I3</f>
        <v>2001 ACTUAL / ESTIMATE</v>
      </c>
      <c r="J3" s="105"/>
      <c r="K3" s="105"/>
      <c r="L3" s="105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5" t="str">
        <f aca="false">I3</f>
        <v>2001 ACTUAL / ESTIMATE</v>
      </c>
      <c r="AJ3" s="105"/>
      <c r="AK3" s="105"/>
      <c r="AL3" s="105"/>
      <c r="AM3" s="103"/>
      <c r="AN3" s="103"/>
      <c r="AO3" s="103"/>
      <c r="AP3" s="103"/>
      <c r="AQ3" s="103"/>
      <c r="AR3" s="103"/>
      <c r="AS3" s="103"/>
      <c r="AT3" s="103"/>
      <c r="AU3" s="103"/>
      <c r="AV3" s="103"/>
    </row>
    <row r="4" customFormat="false" ht="12.75" hidden="false" customHeight="true" outlineLevel="0" collapsed="false">
      <c r="A4" s="103"/>
      <c r="B4" s="103"/>
      <c r="C4" s="103"/>
      <c r="D4" s="120"/>
      <c r="E4" s="153"/>
      <c r="F4" s="153"/>
      <c r="G4" s="153"/>
      <c r="H4" s="103"/>
      <c r="I4" s="105" t="str">
        <f aca="false">CASHFLOW!I4</f>
        <v>(Thousands of Dollars)</v>
      </c>
      <c r="J4" s="105"/>
      <c r="K4" s="105"/>
      <c r="L4" s="105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5" t="str">
        <f aca="false">I4</f>
        <v>(Thousands of Dollars)</v>
      </c>
      <c r="AJ4" s="105"/>
      <c r="AK4" s="105"/>
      <c r="AL4" s="105"/>
      <c r="AM4" s="103"/>
      <c r="AN4" s="103"/>
      <c r="AO4" s="103"/>
      <c r="AP4" s="103"/>
      <c r="AQ4" s="103"/>
      <c r="AR4" s="103"/>
      <c r="AS4" s="103"/>
      <c r="AT4" s="103"/>
      <c r="AU4" s="103"/>
      <c r="AV4" s="103"/>
    </row>
    <row r="5" customFormat="false" ht="12.75" hidden="false" customHeight="true" outlineLevel="0" collapsed="false">
      <c r="A5" s="103"/>
      <c r="B5" s="103"/>
      <c r="C5" s="103"/>
      <c r="D5" s="120" t="n">
        <f aca="false">CASHFLOW!D124</f>
        <v>0</v>
      </c>
      <c r="E5" s="120" t="n">
        <f aca="false">CASHFLOW!E124</f>
        <v>0</v>
      </c>
      <c r="F5" s="120" t="n">
        <f aca="false">CASHFLOW!F124</f>
        <v>0</v>
      </c>
      <c r="G5" s="120" t="n">
        <f aca="false">CASHFLOW!G124</f>
        <v>0</v>
      </c>
      <c r="H5" s="120" t="n">
        <f aca="false">CASHFLOW!H124</f>
        <v>0</v>
      </c>
      <c r="I5" s="120" t="n">
        <f aca="false">CASHFLOW!I124</f>
        <v>0</v>
      </c>
      <c r="J5" s="120" t="n">
        <f aca="false">CASHFLOW!J124</f>
        <v>0</v>
      </c>
      <c r="K5" s="120" t="str">
        <f aca="false">CASHFLOW!K124</f>
        <v>PRE</v>
      </c>
      <c r="L5" s="120" t="n">
        <f aca="false">CASHFLOW!L124</f>
        <v>0</v>
      </c>
      <c r="M5" s="120" t="n">
        <f aca="false">CASHFLOW!M124</f>
        <v>0</v>
      </c>
      <c r="N5" s="120" t="n">
        <f aca="false">CASHFLOW!N124</f>
        <v>0</v>
      </c>
      <c r="O5" s="120" t="n">
        <f aca="false">CASHFLOW!O124</f>
        <v>0</v>
      </c>
      <c r="P5" s="120"/>
      <c r="Q5" s="120"/>
      <c r="R5" s="120"/>
      <c r="S5" s="120"/>
      <c r="T5" s="120" t="n">
        <f aca="false">CASHFLOW!T124</f>
        <v>0</v>
      </c>
      <c r="U5" s="120" t="n">
        <f aca="false">CASHFLOW!U124</f>
        <v>0</v>
      </c>
      <c r="V5" s="120" t="n">
        <f aca="false">CASHFLOW!V124</f>
        <v>0</v>
      </c>
      <c r="W5" s="103"/>
      <c r="X5" s="103"/>
      <c r="Y5" s="103"/>
      <c r="Z5" s="103"/>
      <c r="AA5" s="103"/>
      <c r="AB5" s="103"/>
      <c r="AC5" s="103"/>
      <c r="AD5" s="120" t="n">
        <f aca="false">D5</f>
        <v>0</v>
      </c>
      <c r="AE5" s="120" t="n">
        <f aca="false">E5</f>
        <v>0</v>
      </c>
      <c r="AF5" s="120" t="n">
        <f aca="false">F5</f>
        <v>0</v>
      </c>
      <c r="AG5" s="120" t="n">
        <f aca="false">G5</f>
        <v>0</v>
      </c>
      <c r="AH5" s="120" t="n">
        <f aca="false">H5</f>
        <v>0</v>
      </c>
      <c r="AI5" s="120" t="n">
        <f aca="false">I5</f>
        <v>0</v>
      </c>
      <c r="AJ5" s="120" t="n">
        <f aca="false">J5</f>
        <v>0</v>
      </c>
      <c r="AK5" s="120" t="str">
        <f aca="false">K5</f>
        <v>PRE</v>
      </c>
      <c r="AL5" s="120" t="n">
        <f aca="false">L5</f>
        <v>0</v>
      </c>
      <c r="AM5" s="120" t="n">
        <f aca="false">M5</f>
        <v>0</v>
      </c>
      <c r="AN5" s="120" t="n">
        <f aca="false">N5</f>
        <v>0</v>
      </c>
      <c r="AO5" s="120" t="n">
        <f aca="false">O5</f>
        <v>0</v>
      </c>
      <c r="AP5" s="120" t="n">
        <f aca="false">P5</f>
        <v>0</v>
      </c>
      <c r="AQ5" s="120" t="n">
        <f aca="false">Q5</f>
        <v>0</v>
      </c>
      <c r="AR5" s="120" t="n">
        <f aca="false">R5</f>
        <v>0</v>
      </c>
      <c r="AS5" s="103"/>
      <c r="AT5" s="120" t="n">
        <f aca="false">T5</f>
        <v>0</v>
      </c>
      <c r="AU5" s="120" t="n">
        <f aca="false">U5</f>
        <v>0</v>
      </c>
      <c r="AV5" s="120" t="n">
        <f aca="false">V5</f>
        <v>0</v>
      </c>
    </row>
    <row r="6" customFormat="false" ht="12.75" hidden="false" customHeight="true" outlineLevel="0" collapsed="false">
      <c r="A6" s="103"/>
      <c r="B6" s="103"/>
      <c r="C6" s="103"/>
      <c r="D6" s="120" t="str">
        <f aca="false">CASHFLOW!D125</f>
        <v>ACT.</v>
      </c>
      <c r="E6" s="120" t="str">
        <f aca="false">CASHFLOW!E125</f>
        <v>ACT.</v>
      </c>
      <c r="F6" s="120" t="str">
        <f aca="false">CASHFLOW!F125</f>
        <v>ACT.</v>
      </c>
      <c r="G6" s="120" t="str">
        <f aca="false">CASHFLOW!G125</f>
        <v>ACT.</v>
      </c>
      <c r="H6" s="120" t="str">
        <f aca="false">CASHFLOW!H125</f>
        <v>ACT.</v>
      </c>
      <c r="I6" s="120" t="str">
        <f aca="false">CASHFLOW!I125</f>
        <v>ACT.</v>
      </c>
      <c r="J6" s="120" t="str">
        <f aca="false">CASHFLOW!J125</f>
        <v>ACT.</v>
      </c>
      <c r="K6" s="120" t="str">
        <f aca="false">CASHFLOW!K125</f>
        <v>ACT.</v>
      </c>
      <c r="L6" s="120" t="str">
        <f aca="false">CASHFLOW!L125</f>
        <v>3rd CE</v>
      </c>
      <c r="M6" s="120" t="str">
        <f aca="false">CASHFLOW!M125</f>
        <v>3rd CE</v>
      </c>
      <c r="N6" s="120" t="str">
        <f aca="false">CASHFLOW!N125</f>
        <v>3rd CE</v>
      </c>
      <c r="O6" s="120" t="str">
        <f aca="false">CASHFLOW!O125</f>
        <v>3rd CE</v>
      </c>
      <c r="P6" s="120" t="str">
        <f aca="false">CASHFLOW!P125</f>
        <v>TOTAL</v>
      </c>
      <c r="Q6" s="120" t="str">
        <f aca="false">CASHFLOW!Q125</f>
        <v>JULY</v>
      </c>
      <c r="R6" s="120" t="str">
        <f aca="false">CASHFLOW!R125</f>
        <v>ESTIMATED</v>
      </c>
      <c r="S6" s="120"/>
      <c r="T6" s="120" t="str">
        <f aca="false">CASHFLOW!T125</f>
        <v>PLAN</v>
      </c>
      <c r="U6" s="120" t="str">
        <f aca="false">CASHFLOW!U125</f>
        <v>SEPT.</v>
      </c>
      <c r="V6" s="120" t="str">
        <f aca="false">CASHFLOW!V125</f>
        <v>PLAN</v>
      </c>
      <c r="W6" s="103"/>
      <c r="X6" s="103"/>
      <c r="Y6" s="103"/>
      <c r="Z6" s="103"/>
      <c r="AA6" s="103"/>
      <c r="AB6" s="103"/>
      <c r="AC6" s="103"/>
      <c r="AD6" s="120" t="str">
        <f aca="false">D6</f>
        <v>ACT.</v>
      </c>
      <c r="AE6" s="120" t="str">
        <f aca="false">E6</f>
        <v>ACT.</v>
      </c>
      <c r="AF6" s="120" t="str">
        <f aca="false">F6</f>
        <v>ACT.</v>
      </c>
      <c r="AG6" s="120" t="str">
        <f aca="false">G6</f>
        <v>ACT.</v>
      </c>
      <c r="AH6" s="120" t="str">
        <f aca="false">H6</f>
        <v>ACT.</v>
      </c>
      <c r="AI6" s="120" t="str">
        <f aca="false">I6</f>
        <v>ACT.</v>
      </c>
      <c r="AJ6" s="120" t="str">
        <f aca="false">J6</f>
        <v>ACT.</v>
      </c>
      <c r="AK6" s="120" t="str">
        <f aca="false">K6</f>
        <v>ACT.</v>
      </c>
      <c r="AL6" s="120" t="str">
        <f aca="false">L6</f>
        <v>3rd CE</v>
      </c>
      <c r="AM6" s="120" t="str">
        <f aca="false">M6</f>
        <v>3rd CE</v>
      </c>
      <c r="AN6" s="120" t="str">
        <f aca="false">N6</f>
        <v>3rd CE</v>
      </c>
      <c r="AO6" s="120" t="str">
        <f aca="false">O6</f>
        <v>3rd CE</v>
      </c>
      <c r="AP6" s="120" t="str">
        <f aca="false">P6</f>
        <v>TOTAL</v>
      </c>
      <c r="AQ6" s="120" t="str">
        <f aca="false">Q6</f>
        <v>JULY</v>
      </c>
      <c r="AR6" s="120" t="str">
        <f aca="false">R6</f>
        <v>ESTIMATED</v>
      </c>
      <c r="AS6" s="103"/>
      <c r="AT6" s="120" t="str">
        <f aca="false">T6</f>
        <v>PLAN</v>
      </c>
      <c r="AU6" s="120" t="str">
        <f aca="false">U6</f>
        <v>SEPT.</v>
      </c>
      <c r="AV6" s="120" t="str">
        <f aca="false">V6</f>
        <v>PLAN</v>
      </c>
    </row>
    <row r="7" customFormat="false" ht="12.75" hidden="false" customHeight="true" outlineLevel="0" collapsed="false">
      <c r="A7" s="103"/>
      <c r="B7" s="103"/>
      <c r="C7" s="103"/>
      <c r="D7" s="126" t="str">
        <f aca="false">CASHFLOW!D126</f>
        <v>JAN</v>
      </c>
      <c r="E7" s="126" t="str">
        <f aca="false">CASHFLOW!E126</f>
        <v>FEB</v>
      </c>
      <c r="F7" s="126" t="str">
        <f aca="false">CASHFLOW!F126</f>
        <v>MAR</v>
      </c>
      <c r="G7" s="126" t="str">
        <f aca="false">CASHFLOW!G126</f>
        <v>APR</v>
      </c>
      <c r="H7" s="126" t="str">
        <f aca="false">CASHFLOW!H126</f>
        <v>MAY</v>
      </c>
      <c r="I7" s="126" t="str">
        <f aca="false">CASHFLOW!I126</f>
        <v>JUN</v>
      </c>
      <c r="J7" s="126" t="str">
        <f aca="false">CASHFLOW!J126</f>
        <v>JUL</v>
      </c>
      <c r="K7" s="126" t="str">
        <f aca="false">CASHFLOW!K126</f>
        <v>AUG</v>
      </c>
      <c r="L7" s="126" t="str">
        <f aca="false">CASHFLOW!L126</f>
        <v>SEP</v>
      </c>
      <c r="M7" s="126" t="str">
        <f aca="false">CASHFLOW!M126</f>
        <v>OCT</v>
      </c>
      <c r="N7" s="126" t="str">
        <f aca="false">CASHFLOW!N126</f>
        <v>NOV</v>
      </c>
      <c r="O7" s="126" t="str">
        <f aca="false">CASHFLOW!O126</f>
        <v>DEC</v>
      </c>
      <c r="P7" s="126" t="n">
        <f aca="false">CASHFLOW!P126</f>
        <v>2001</v>
      </c>
      <c r="Q7" s="126" t="str">
        <f aca="false">CASHFLOW!Q126</f>
        <v>Y-T-D</v>
      </c>
      <c r="R7" s="126" t="str">
        <f aca="false">CASHFLOW!R126</f>
        <v>R.M.</v>
      </c>
      <c r="S7" s="126"/>
      <c r="T7" s="126" t="n">
        <f aca="false">CASHFLOW!T126</f>
        <v>2001</v>
      </c>
      <c r="U7" s="126" t="str">
        <f aca="false">CASHFLOW!U126</f>
        <v>Y-T-D</v>
      </c>
      <c r="V7" s="126" t="str">
        <f aca="false">CASHFLOW!V126</f>
        <v>R.M.</v>
      </c>
      <c r="W7" s="103"/>
      <c r="X7" s="103"/>
      <c r="Y7" s="103"/>
      <c r="Z7" s="103"/>
      <c r="AA7" s="103"/>
      <c r="AB7" s="103"/>
      <c r="AC7" s="103"/>
      <c r="AD7" s="126" t="str">
        <f aca="false">D7</f>
        <v>JAN</v>
      </c>
      <c r="AE7" s="126" t="str">
        <f aca="false">E7</f>
        <v>FEB</v>
      </c>
      <c r="AF7" s="126" t="str">
        <f aca="false">F7</f>
        <v>MAR</v>
      </c>
      <c r="AG7" s="126" t="str">
        <f aca="false">G7</f>
        <v>APR</v>
      </c>
      <c r="AH7" s="126" t="str">
        <f aca="false">H7</f>
        <v>MAY</v>
      </c>
      <c r="AI7" s="126" t="str">
        <f aca="false">I7</f>
        <v>JUN</v>
      </c>
      <c r="AJ7" s="126" t="str">
        <f aca="false">J7</f>
        <v>JUL</v>
      </c>
      <c r="AK7" s="126" t="str">
        <f aca="false">K7</f>
        <v>AUG</v>
      </c>
      <c r="AL7" s="126" t="str">
        <f aca="false">L7</f>
        <v>SEP</v>
      </c>
      <c r="AM7" s="126" t="str">
        <f aca="false">M7</f>
        <v>OCT</v>
      </c>
      <c r="AN7" s="126" t="str">
        <f aca="false">N7</f>
        <v>NOV</v>
      </c>
      <c r="AO7" s="126" t="str">
        <f aca="false">O7</f>
        <v>DEC</v>
      </c>
      <c r="AP7" s="126" t="n">
        <f aca="false">P7</f>
        <v>2001</v>
      </c>
      <c r="AQ7" s="126" t="str">
        <f aca="false">Q7</f>
        <v>Y-T-D</v>
      </c>
      <c r="AR7" s="126" t="str">
        <f aca="false">R7</f>
        <v>R.M.</v>
      </c>
      <c r="AS7" s="103"/>
      <c r="AT7" s="126" t="n">
        <f aca="false">T7</f>
        <v>2001</v>
      </c>
      <c r="AU7" s="126" t="str">
        <f aca="false">U7</f>
        <v>Y-T-D</v>
      </c>
      <c r="AV7" s="126" t="str">
        <f aca="false">V7</f>
        <v>R.M.</v>
      </c>
    </row>
    <row r="8" customFormat="false" ht="12.75" hidden="false" customHeight="true" outlineLevel="0" collapsed="false">
      <c r="A8" s="196" t="str">
        <f aca="false">CASHFLOW!A127</f>
        <v>CASH FLOW FROM OPERATING ACTIVITIES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0" t="str">
        <f aca="false">A8</f>
        <v>CASH FLOW FROM OPERATING ACTIVITIES</v>
      </c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</row>
    <row r="9" customFormat="false" ht="12.75" hidden="false" customHeight="true" outlineLevel="0" collapsed="false">
      <c r="A9" s="202" t="str">
        <f aca="false">CASHFLOW!A128</f>
        <v>   Net Income </v>
      </c>
      <c r="B9" s="103"/>
      <c r="C9" s="103"/>
      <c r="D9" s="130" t="n">
        <f aca="false">[1]IncomeState!C157</f>
        <v>313</v>
      </c>
      <c r="E9" s="130" t="n">
        <f aca="false">[1]IncomeState!D157</f>
        <v>186</v>
      </c>
      <c r="F9" s="130" t="n">
        <f aca="false">[1]IncomeState!E157</f>
        <v>174</v>
      </c>
      <c r="G9" s="130" t="n">
        <f aca="false">[1]IncomeState!F157</f>
        <v>807</v>
      </c>
      <c r="H9" s="130" t="n">
        <f aca="false">[1]IncomeState!G157</f>
        <v>179</v>
      </c>
      <c r="I9" s="130" t="n">
        <f aca="false">[1]IncomeState!H157</f>
        <v>256</v>
      </c>
      <c r="J9" s="130" t="n">
        <f aca="false">[1]IncomeState!I157</f>
        <v>188</v>
      </c>
      <c r="K9" s="130" t="n">
        <f aca="false">[1]IncomeState!J157</f>
        <v>149</v>
      </c>
      <c r="L9" s="130" t="n">
        <f aca="false">[1]IncomeState!K157</f>
        <v>183</v>
      </c>
      <c r="M9" s="130" t="n">
        <f aca="false">[1]IncomeState!L157</f>
        <v>187</v>
      </c>
      <c r="N9" s="130" t="n">
        <f aca="false">[1]IncomeState!M157</f>
        <v>197</v>
      </c>
      <c r="O9" s="130" t="n">
        <f aca="false">[1]IncomeState!N157</f>
        <v>-8</v>
      </c>
      <c r="P9" s="130" t="n">
        <f aca="false">SUM(D9:O9)</f>
        <v>2811</v>
      </c>
      <c r="Q9" s="131" t="n">
        <f aca="false">SUM(D9:J9)</f>
        <v>2103</v>
      </c>
      <c r="R9" s="130" t="n">
        <f aca="false">P9-Q9</f>
        <v>708</v>
      </c>
      <c r="S9" s="130"/>
      <c r="T9" s="210" t="n">
        <v>0</v>
      </c>
      <c r="U9" s="210" t="n">
        <v>0</v>
      </c>
      <c r="V9" s="157" t="n">
        <f aca="false">T9-U9</f>
        <v>0</v>
      </c>
      <c r="W9" s="103"/>
      <c r="X9" s="103"/>
      <c r="Y9" s="103"/>
      <c r="Z9" s="103"/>
      <c r="AA9" s="103" t="str">
        <f aca="false">A9</f>
        <v>   Net Income </v>
      </c>
      <c r="AB9" s="103"/>
      <c r="AC9" s="103"/>
      <c r="AD9" s="157" t="n">
        <f aca="false">CASHFLOW!D128-'CF-Partnership, NNG &amp; 53K'!D9</f>
        <v>19321</v>
      </c>
      <c r="AE9" s="157" t="n">
        <f aca="false">CASHFLOW!E128-'CF-Partnership, NNG &amp; 53K'!E9</f>
        <v>18599</v>
      </c>
      <c r="AF9" s="157" t="n">
        <f aca="false">CASHFLOW!F128-'CF-Partnership, NNG &amp; 53K'!F9</f>
        <v>17521</v>
      </c>
      <c r="AG9" s="157" t="n">
        <f aca="false">CASHFLOW!G128-'CF-Partnership, NNG &amp; 53K'!G9</f>
        <v>2272</v>
      </c>
      <c r="AH9" s="157" t="n">
        <f aca="false">CASHFLOW!H128-'CF-Partnership, NNG &amp; 53K'!H9</f>
        <v>813</v>
      </c>
      <c r="AI9" s="157" t="n">
        <f aca="false">CASHFLOW!I128-'CF-Partnership, NNG &amp; 53K'!I9</f>
        <v>2710</v>
      </c>
      <c r="AJ9" s="157" t="n">
        <f aca="false">CASHFLOW!J128-'CF-Partnership, NNG &amp; 53K'!J9</f>
        <v>1360</v>
      </c>
      <c r="AK9" s="157" t="n">
        <f aca="false">CASHFLOW!K128-'CF-Partnership, NNG &amp; 53K'!K9</f>
        <v>2325</v>
      </c>
      <c r="AL9" s="157" t="n">
        <f aca="false">CASHFLOW!L128-'CF-Partnership, NNG &amp; 53K'!L9</f>
        <v>463</v>
      </c>
      <c r="AM9" s="157" t="n">
        <f aca="false">CASHFLOW!M128-'CF-Partnership, NNG &amp; 53K'!M9</f>
        <v>-1372</v>
      </c>
      <c r="AN9" s="157" t="n">
        <f aca="false">CASHFLOW!N128-'CF-Partnership, NNG &amp; 53K'!N9</f>
        <v>16154</v>
      </c>
      <c r="AO9" s="157" t="n">
        <f aca="false">CASHFLOW!O128-'CF-Partnership, NNG &amp; 53K'!O9</f>
        <v>16764</v>
      </c>
      <c r="AP9" s="130" t="n">
        <f aca="false">SUM(AD9:AO9)</f>
        <v>96930</v>
      </c>
      <c r="AQ9" s="131" t="n">
        <f aca="false">SUM(AD9:AJ9)</f>
        <v>62596</v>
      </c>
      <c r="AR9" s="130" t="n">
        <f aca="false">AP9-AQ9</f>
        <v>34334</v>
      </c>
      <c r="AS9" s="130"/>
      <c r="AT9" s="210" t="n">
        <v>0</v>
      </c>
      <c r="AU9" s="210" t="n">
        <v>0</v>
      </c>
      <c r="AV9" s="157" t="n">
        <f aca="false">AT9-AU9</f>
        <v>0</v>
      </c>
    </row>
    <row r="10" customFormat="false" ht="3.95" hidden="false" customHeight="true" outlineLevel="0" collapsed="false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</row>
    <row r="11" customFormat="false" ht="12.75" hidden="false" customHeight="true" outlineLevel="0" collapsed="false">
      <c r="A11" s="202" t="str">
        <f aca="false">CASHFLOW!A129</f>
        <v>   Items not affecting Cash: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 t="str">
        <f aca="false">A11</f>
        <v>   Items not affecting Cash:</v>
      </c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</row>
    <row r="12" customFormat="false" ht="12.75" hidden="false" customHeight="true" outlineLevel="0" collapsed="false">
      <c r="A12" s="202" t="str">
        <f aca="false">CASHFLOW!A130</f>
        <v>      Depreciation and Amortization</v>
      </c>
      <c r="B12" s="103"/>
      <c r="C12" s="103"/>
      <c r="D12" s="130" t="n">
        <f aca="false">[1]IncomeState!C124</f>
        <v>28</v>
      </c>
      <c r="E12" s="130" t="n">
        <f aca="false">[1]IncomeState!D124</f>
        <v>28</v>
      </c>
      <c r="F12" s="130" t="n">
        <f aca="false">[1]IncomeState!E124</f>
        <v>29</v>
      </c>
      <c r="G12" s="130" t="n">
        <f aca="false">[1]IncomeState!F124</f>
        <v>28</v>
      </c>
      <c r="H12" s="130" t="n">
        <f aca="false">[1]IncomeState!G124</f>
        <v>28</v>
      </c>
      <c r="I12" s="130" t="n">
        <f aca="false">[1]IncomeState!H124</f>
        <v>28</v>
      </c>
      <c r="J12" s="130" t="n">
        <f aca="false">[1]IncomeState!I124</f>
        <v>29</v>
      </c>
      <c r="K12" s="130" t="n">
        <f aca="false">[1]IncomeState!J124</f>
        <v>28</v>
      </c>
      <c r="L12" s="130" t="n">
        <f aca="false">[1]IncomeState!K124</f>
        <v>28</v>
      </c>
      <c r="M12" s="130" t="n">
        <f aca="false">[1]IncomeState!L124</f>
        <v>28</v>
      </c>
      <c r="N12" s="130" t="n">
        <f aca="false">[1]IncomeState!M124</f>
        <v>28</v>
      </c>
      <c r="O12" s="130" t="n">
        <f aca="false">[1]IncomeState!N124</f>
        <v>28</v>
      </c>
      <c r="P12" s="130" t="n">
        <f aca="false">SUM(D12:O12)</f>
        <v>338</v>
      </c>
      <c r="Q12" s="131" t="n">
        <f aca="false">SUM(D12:J12)</f>
        <v>198</v>
      </c>
      <c r="R12" s="130" t="n">
        <f aca="false">P12-Q12</f>
        <v>140</v>
      </c>
      <c r="S12" s="130"/>
      <c r="T12" s="210" t="n">
        <v>0</v>
      </c>
      <c r="U12" s="210" t="n">
        <v>0</v>
      </c>
      <c r="V12" s="157" t="n">
        <f aca="false">T12-U12</f>
        <v>0</v>
      </c>
      <c r="W12" s="103"/>
      <c r="X12" s="103"/>
      <c r="Y12" s="103"/>
      <c r="Z12" s="103"/>
      <c r="AA12" s="103" t="str">
        <f aca="false">A12</f>
        <v>      Depreciation and Amortization</v>
      </c>
      <c r="AB12" s="103"/>
      <c r="AC12" s="103"/>
      <c r="AD12" s="157" t="n">
        <f aca="false">CASHFLOW!D130-'CF-Partnership, NNG &amp; 53K'!D12</f>
        <v>3813</v>
      </c>
      <c r="AE12" s="157" t="n">
        <f aca="false">CASHFLOW!E130-'CF-Partnership, NNG &amp; 53K'!E12</f>
        <v>3825</v>
      </c>
      <c r="AF12" s="157" t="n">
        <f aca="false">CASHFLOW!F130-'CF-Partnership, NNG &amp; 53K'!F12</f>
        <v>3871</v>
      </c>
      <c r="AG12" s="157" t="n">
        <f aca="false">CASHFLOW!G130-'CF-Partnership, NNG &amp; 53K'!G12</f>
        <v>3783</v>
      </c>
      <c r="AH12" s="157" t="n">
        <f aca="false">CASHFLOW!H130-'CF-Partnership, NNG &amp; 53K'!H12</f>
        <v>3727</v>
      </c>
      <c r="AI12" s="157" t="n">
        <f aca="false">CASHFLOW!I130-'CF-Partnership, NNG &amp; 53K'!I12</f>
        <v>3971</v>
      </c>
      <c r="AJ12" s="157" t="n">
        <f aca="false">CASHFLOW!J130-'CF-Partnership, NNG &amp; 53K'!J12</f>
        <v>3822</v>
      </c>
      <c r="AK12" s="157" t="n">
        <f aca="false">CASHFLOW!K130-'CF-Partnership, NNG &amp; 53K'!K12</f>
        <v>3827</v>
      </c>
      <c r="AL12" s="157" t="n">
        <f aca="false">CASHFLOW!L130-'CF-Partnership, NNG &amp; 53K'!L12</f>
        <v>3872</v>
      </c>
      <c r="AM12" s="157" t="n">
        <f aca="false">CASHFLOW!M130-'CF-Partnership, NNG &amp; 53K'!M12</f>
        <v>5172</v>
      </c>
      <c r="AN12" s="157" t="n">
        <f aca="false">CASHFLOW!N130-'CF-Partnership, NNG &amp; 53K'!N12</f>
        <v>3922</v>
      </c>
      <c r="AO12" s="157" t="n">
        <f aca="false">CASHFLOW!O130-'CF-Partnership, NNG &amp; 53K'!O12</f>
        <v>3972</v>
      </c>
      <c r="AP12" s="130" t="n">
        <f aca="false">SUM(AD12:AO12)</f>
        <v>47577</v>
      </c>
      <c r="AQ12" s="131" t="n">
        <f aca="false">SUM(AD12:AJ12)</f>
        <v>26812</v>
      </c>
      <c r="AR12" s="130" t="n">
        <f aca="false">AP12-AQ12</f>
        <v>20765</v>
      </c>
      <c r="AS12" s="130"/>
      <c r="AT12" s="210" t="n">
        <v>0</v>
      </c>
      <c r="AU12" s="210" t="n">
        <v>0</v>
      </c>
      <c r="AV12" s="157" t="n">
        <f aca="false">AT12-AU12</f>
        <v>0</v>
      </c>
    </row>
    <row r="13" customFormat="false" ht="12.75" hidden="false" customHeight="true" outlineLevel="0" collapsed="false">
      <c r="A13" s="202" t="str">
        <f aca="false">CASHFLOW!A131</f>
        <v>      Deferred Income Taxes</v>
      </c>
      <c r="B13" s="103"/>
      <c r="C13" s="103"/>
      <c r="D13" s="157" t="n">
        <f aca="false">[1]IncomeState!C153</f>
        <v>-84</v>
      </c>
      <c r="E13" s="157" t="n">
        <f aca="false">[1]IncomeState!D153</f>
        <v>-84</v>
      </c>
      <c r="F13" s="157" t="n">
        <f aca="false">[1]IncomeState!E153</f>
        <v>-85</v>
      </c>
      <c r="G13" s="157" t="n">
        <f aca="false">[1]IncomeState!F153</f>
        <v>-85</v>
      </c>
      <c r="H13" s="157" t="n">
        <f aca="false">[1]IncomeState!G153</f>
        <v>-84</v>
      </c>
      <c r="I13" s="157" t="n">
        <f aca="false">[1]IncomeState!H153</f>
        <v>-85</v>
      </c>
      <c r="J13" s="157" t="n">
        <f aca="false">[1]IncomeState!I153</f>
        <v>-84</v>
      </c>
      <c r="K13" s="157" t="n">
        <f aca="false">[1]IncomeState!J153</f>
        <v>-85</v>
      </c>
      <c r="L13" s="157" t="n">
        <f aca="false">[1]IncomeState!K153</f>
        <v>-84</v>
      </c>
      <c r="M13" s="157" t="n">
        <f aca="false">[1]IncomeState!L153</f>
        <v>-128</v>
      </c>
      <c r="N13" s="157" t="n">
        <f aca="false">[1]IncomeState!M153</f>
        <v>-135</v>
      </c>
      <c r="O13" s="157" t="n">
        <f aca="false">[1]IncomeState!N153</f>
        <v>-6</v>
      </c>
      <c r="P13" s="130" t="n">
        <f aca="false">SUM(D13:O13)</f>
        <v>-1029</v>
      </c>
      <c r="Q13" s="131" t="n">
        <f aca="false">SUM(D13:J13)</f>
        <v>-591</v>
      </c>
      <c r="R13" s="130" t="n">
        <f aca="false">P13-Q13</f>
        <v>-438</v>
      </c>
      <c r="S13" s="130"/>
      <c r="T13" s="210" t="n">
        <v>0</v>
      </c>
      <c r="U13" s="210" t="n">
        <v>0</v>
      </c>
      <c r="V13" s="157" t="n">
        <f aca="false">T13-U13</f>
        <v>0</v>
      </c>
      <c r="W13" s="103"/>
      <c r="X13" s="103"/>
      <c r="Y13" s="103"/>
      <c r="Z13" s="103"/>
      <c r="AA13" s="103" t="str">
        <f aca="false">A13</f>
        <v>      Deferred Income Taxes</v>
      </c>
      <c r="AB13" s="103"/>
      <c r="AC13" s="103"/>
      <c r="AD13" s="157" t="n">
        <f aca="false">CASHFLOW!D131-'CF-Partnership, NNG &amp; 53K'!D13</f>
        <v>3346</v>
      </c>
      <c r="AE13" s="157" t="n">
        <f aca="false">CASHFLOW!E131-'CF-Partnership, NNG &amp; 53K'!E13</f>
        <v>234</v>
      </c>
      <c r="AF13" s="157" t="n">
        <f aca="false">CASHFLOW!F131-'CF-Partnership, NNG &amp; 53K'!F13</f>
        <v>-1062</v>
      </c>
      <c r="AG13" s="157" t="n">
        <f aca="false">CASHFLOW!G131-'CF-Partnership, NNG &amp; 53K'!G13</f>
        <v>23426</v>
      </c>
      <c r="AH13" s="157" t="n">
        <f aca="false">CASHFLOW!H131-'CF-Partnership, NNG &amp; 53K'!H13</f>
        <v>1659</v>
      </c>
      <c r="AI13" s="157" t="n">
        <f aca="false">CASHFLOW!I131-'CF-Partnership, NNG &amp; 53K'!I13</f>
        <v>-2898</v>
      </c>
      <c r="AJ13" s="157" t="n">
        <f aca="false">CASHFLOW!J131-'CF-Partnership, NNG &amp; 53K'!J13</f>
        <v>944</v>
      </c>
      <c r="AK13" s="157" t="n">
        <f aca="false">CASHFLOW!K131-'CF-Partnership, NNG &amp; 53K'!K13</f>
        <v>3424</v>
      </c>
      <c r="AL13" s="157" t="n">
        <f aca="false">CASHFLOW!L131-'CF-Partnership, NNG &amp; 53K'!L13</f>
        <v>2291</v>
      </c>
      <c r="AM13" s="157" t="n">
        <f aca="false">CASHFLOW!M131-'CF-Partnership, NNG &amp; 53K'!M13</f>
        <v>-11686</v>
      </c>
      <c r="AN13" s="157" t="n">
        <f aca="false">CASHFLOW!N131-'CF-Partnership, NNG &amp; 53K'!N13</f>
        <v>-1186</v>
      </c>
      <c r="AO13" s="157" t="n">
        <f aca="false">CASHFLOW!O131-'CF-Partnership, NNG &amp; 53K'!O13</f>
        <v>665</v>
      </c>
      <c r="AP13" s="130" t="n">
        <f aca="false">SUM(AD13:AO13)</f>
        <v>19157</v>
      </c>
      <c r="AQ13" s="131" t="n">
        <f aca="false">SUM(AD13:AJ13)</f>
        <v>25649</v>
      </c>
      <c r="AR13" s="130" t="n">
        <f aca="false">AP13-AQ13</f>
        <v>-6492</v>
      </c>
      <c r="AS13" s="130"/>
      <c r="AT13" s="210" t="n">
        <v>0</v>
      </c>
      <c r="AU13" s="210" t="n">
        <v>0</v>
      </c>
      <c r="AV13" s="157" t="n">
        <f aca="false">AT13-AU13</f>
        <v>0</v>
      </c>
    </row>
    <row r="14" customFormat="false" ht="12.75" hidden="false" customHeight="true" outlineLevel="0" collapsed="false">
      <c r="A14" s="202" t="str">
        <f aca="false">CASHFLOW!A132</f>
        <v>      Net (Gain) / Loss on Sale of Assets</v>
      </c>
      <c r="B14" s="103"/>
      <c r="C14" s="103"/>
      <c r="D14" s="211" t="n">
        <v>0</v>
      </c>
      <c r="E14" s="211" t="n">
        <v>0</v>
      </c>
      <c r="F14" s="211" t="n">
        <v>0</v>
      </c>
      <c r="G14" s="211" t="n">
        <v>0</v>
      </c>
      <c r="H14" s="211" t="n">
        <v>0</v>
      </c>
      <c r="I14" s="211" t="n">
        <v>0</v>
      </c>
      <c r="J14" s="211" t="n">
        <v>0</v>
      </c>
      <c r="K14" s="211" t="n">
        <v>0</v>
      </c>
      <c r="L14" s="211" t="n">
        <v>0</v>
      </c>
      <c r="M14" s="211" t="n">
        <v>0</v>
      </c>
      <c r="N14" s="211" t="n">
        <v>0</v>
      </c>
      <c r="O14" s="211" t="n">
        <v>0</v>
      </c>
      <c r="P14" s="143" t="n">
        <f aca="false">SUM(D14:O14)</f>
        <v>0</v>
      </c>
      <c r="Q14" s="140" t="n">
        <f aca="false">SUM(D14:J14)</f>
        <v>0</v>
      </c>
      <c r="R14" s="143" t="n">
        <f aca="false">P14-Q14</f>
        <v>0</v>
      </c>
      <c r="S14" s="143"/>
      <c r="T14" s="211" t="n">
        <v>0</v>
      </c>
      <c r="U14" s="211" t="n">
        <v>0</v>
      </c>
      <c r="V14" s="159" t="n">
        <f aca="false">T14-U14</f>
        <v>0</v>
      </c>
      <c r="W14" s="103"/>
      <c r="X14" s="103"/>
      <c r="Y14" s="103"/>
      <c r="Z14" s="103"/>
      <c r="AA14" s="103" t="str">
        <f aca="false">A14</f>
        <v>      Net (Gain) / Loss on Sale of Assets</v>
      </c>
      <c r="AB14" s="103"/>
      <c r="AC14" s="103"/>
      <c r="AD14" s="159" t="n">
        <f aca="false">CASHFLOW!D132-'CF-Partnership, NNG &amp; 53K'!D14</f>
        <v>267</v>
      </c>
      <c r="AE14" s="159" t="n">
        <f aca="false">CASHFLOW!E132-'CF-Partnership, NNG &amp; 53K'!E14</f>
        <v>-259</v>
      </c>
      <c r="AF14" s="159" t="n">
        <f aca="false">CASHFLOW!F132-'CF-Partnership, NNG &amp; 53K'!F14</f>
        <v>-8</v>
      </c>
      <c r="AG14" s="159" t="n">
        <f aca="false">CASHFLOW!G132-'CF-Partnership, NNG &amp; 53K'!G14</f>
        <v>-0</v>
      </c>
      <c r="AH14" s="159" t="n">
        <f aca="false">CASHFLOW!H132-'CF-Partnership, NNG &amp; 53K'!H14</f>
        <v>-0</v>
      </c>
      <c r="AI14" s="159" t="n">
        <f aca="false">CASHFLOW!I132-'CF-Partnership, NNG &amp; 53K'!I14</f>
        <v>-553</v>
      </c>
      <c r="AJ14" s="159" t="n">
        <f aca="false">CASHFLOW!J132-'CF-Partnership, NNG &amp; 53K'!J14</f>
        <v>-0</v>
      </c>
      <c r="AK14" s="159" t="n">
        <f aca="false">CASHFLOW!K132-'CF-Partnership, NNG &amp; 53K'!K14</f>
        <v>-0</v>
      </c>
      <c r="AL14" s="159" t="n">
        <f aca="false">CASHFLOW!L132-'CF-Partnership, NNG &amp; 53K'!L14</f>
        <v>-0</v>
      </c>
      <c r="AM14" s="159" t="n">
        <f aca="false">CASHFLOW!M132-'CF-Partnership, NNG &amp; 53K'!M14</f>
        <v>-0</v>
      </c>
      <c r="AN14" s="159" t="n">
        <f aca="false">CASHFLOW!N132-'CF-Partnership, NNG &amp; 53K'!N14</f>
        <v>-0</v>
      </c>
      <c r="AO14" s="159" t="n">
        <f aca="false">CASHFLOW!O132-'CF-Partnership, NNG &amp; 53K'!O14</f>
        <v>-2300</v>
      </c>
      <c r="AP14" s="143" t="n">
        <f aca="false">SUM(AD14:AO14)</f>
        <v>-2853</v>
      </c>
      <c r="AQ14" s="140" t="n">
        <f aca="false">SUM(AD14:AJ14)</f>
        <v>-553</v>
      </c>
      <c r="AR14" s="143" t="n">
        <f aca="false">AP14-AQ14</f>
        <v>-2300</v>
      </c>
      <c r="AS14" s="143"/>
      <c r="AT14" s="211" t="n">
        <v>0</v>
      </c>
      <c r="AU14" s="211" t="n">
        <v>0</v>
      </c>
      <c r="AV14" s="159" t="n">
        <f aca="false">AT14-AU14</f>
        <v>0</v>
      </c>
    </row>
    <row r="15" customFormat="false" ht="3.95" hidden="false" customHeight="true" outlineLevel="0" collapsed="false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</row>
    <row r="16" customFormat="false" ht="12.75" hidden="false" customHeight="true" outlineLevel="0" collapsed="false">
      <c r="A16" s="202" t="str">
        <f aca="false">CASHFLOW!A134</f>
        <v>            Total Cash Flow From Operations</v>
      </c>
      <c r="B16" s="103"/>
      <c r="C16" s="103"/>
      <c r="D16" s="157" t="n">
        <f aca="false">SUM(D9:D14)</f>
        <v>257</v>
      </c>
      <c r="E16" s="157" t="n">
        <f aca="false">SUM(E9:E14)</f>
        <v>130</v>
      </c>
      <c r="F16" s="157" t="n">
        <f aca="false">SUM(F9:F14)</f>
        <v>118</v>
      </c>
      <c r="G16" s="157" t="n">
        <f aca="false">SUM(G9:G14)</f>
        <v>750</v>
      </c>
      <c r="H16" s="157" t="n">
        <f aca="false">SUM(H9:H14)</f>
        <v>123</v>
      </c>
      <c r="I16" s="157" t="n">
        <f aca="false">SUM(I9:I14)</f>
        <v>199</v>
      </c>
      <c r="J16" s="157" t="n">
        <f aca="false">SUM(J9:J14)</f>
        <v>133</v>
      </c>
      <c r="K16" s="157" t="n">
        <f aca="false">SUM(K9:K14)</f>
        <v>92</v>
      </c>
      <c r="L16" s="157" t="n">
        <f aca="false">SUM(L9:L14)</f>
        <v>127</v>
      </c>
      <c r="M16" s="157" t="n">
        <f aca="false">SUM(M9:M14)</f>
        <v>87</v>
      </c>
      <c r="N16" s="157" t="n">
        <f aca="false">SUM(N9:N14)</f>
        <v>90</v>
      </c>
      <c r="O16" s="157" t="n">
        <f aca="false">SUM(O9:O14)</f>
        <v>14</v>
      </c>
      <c r="P16" s="157" t="n">
        <f aca="false">SUM(P9:P14)</f>
        <v>2120</v>
      </c>
      <c r="Q16" s="157" t="n">
        <f aca="false">SUM(Q9:Q14)</f>
        <v>1710</v>
      </c>
      <c r="R16" s="157" t="n">
        <f aca="false">SUM(R9:R14)</f>
        <v>410</v>
      </c>
      <c r="S16" s="157"/>
      <c r="T16" s="157" t="n">
        <f aca="false">SUM(T9:T14)</f>
        <v>0</v>
      </c>
      <c r="U16" s="157" t="n">
        <f aca="false">SUM(U9:U14)</f>
        <v>0</v>
      </c>
      <c r="V16" s="157" t="n">
        <f aca="false">SUM(V9:V14)</f>
        <v>0</v>
      </c>
      <c r="W16" s="103"/>
      <c r="X16" s="103"/>
      <c r="Y16" s="103"/>
      <c r="Z16" s="103"/>
      <c r="AA16" s="103" t="str">
        <f aca="false">A16</f>
        <v>            Total Cash Flow From Operations</v>
      </c>
      <c r="AB16" s="103"/>
      <c r="AC16" s="103"/>
      <c r="AD16" s="157" t="n">
        <f aca="false">SUM(AD9:AD14)</f>
        <v>26747</v>
      </c>
      <c r="AE16" s="157" t="n">
        <f aca="false">SUM(AE9:AE14)</f>
        <v>22399</v>
      </c>
      <c r="AF16" s="157" t="n">
        <f aca="false">SUM(AF9:AF14)</f>
        <v>20322</v>
      </c>
      <c r="AG16" s="157" t="n">
        <f aca="false">SUM(AG9:AG14)</f>
        <v>29481</v>
      </c>
      <c r="AH16" s="157" t="n">
        <f aca="false">SUM(AH9:AH14)</f>
        <v>6199</v>
      </c>
      <c r="AI16" s="157" t="n">
        <f aca="false">SUM(AI9:AI14)</f>
        <v>3230</v>
      </c>
      <c r="AJ16" s="157" t="n">
        <f aca="false">SUM(AJ9:AJ14)</f>
        <v>6126</v>
      </c>
      <c r="AK16" s="157" t="n">
        <f aca="false">SUM(AK9:AK14)</f>
        <v>9576</v>
      </c>
      <c r="AL16" s="157" t="n">
        <f aca="false">SUM(AL9:AL14)</f>
        <v>6626</v>
      </c>
      <c r="AM16" s="157" t="n">
        <f aca="false">SUM(AM9:AM14)</f>
        <v>-7886</v>
      </c>
      <c r="AN16" s="157" t="n">
        <f aca="false">SUM(AN9:AN14)</f>
        <v>18890</v>
      </c>
      <c r="AO16" s="157" t="n">
        <f aca="false">SUM(AO9:AO14)</f>
        <v>19101</v>
      </c>
      <c r="AP16" s="157" t="n">
        <f aca="false">SUM(AP9:AP14)</f>
        <v>160811</v>
      </c>
      <c r="AQ16" s="157" t="n">
        <f aca="false">SUM(AQ9:AQ14)</f>
        <v>114504</v>
      </c>
      <c r="AR16" s="157" t="n">
        <f aca="false">SUM(AR9:AR14)</f>
        <v>46307</v>
      </c>
      <c r="AS16" s="157"/>
      <c r="AT16" s="157" t="n">
        <f aca="false">SUM(AT9:AT14)</f>
        <v>0</v>
      </c>
      <c r="AU16" s="157" t="n">
        <f aca="false">SUM(AU9:AU14)</f>
        <v>0</v>
      </c>
      <c r="AV16" s="157" t="n">
        <f aca="false">SUM(AV9:AV14)</f>
        <v>0</v>
      </c>
    </row>
    <row r="17" customFormat="false" ht="3.95" hidden="false" customHeight="true" outlineLevel="0" collapsed="false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</row>
    <row r="18" customFormat="false" ht="12.75" hidden="false" customHeight="true" outlineLevel="0" collapsed="false">
      <c r="A18" s="202" t="str">
        <f aca="false">CASHFLOW!A136</f>
        <v>   Deferred Severance / Relocation Charges</v>
      </c>
      <c r="B18" s="103"/>
      <c r="C18" s="103"/>
      <c r="D18" s="210" t="n">
        <v>0</v>
      </c>
      <c r="E18" s="210" t="n">
        <v>0</v>
      </c>
      <c r="F18" s="210" t="n">
        <v>0</v>
      </c>
      <c r="G18" s="210" t="n">
        <v>0</v>
      </c>
      <c r="H18" s="210" t="n">
        <v>0</v>
      </c>
      <c r="I18" s="210" t="n">
        <v>0</v>
      </c>
      <c r="J18" s="210" t="n">
        <v>0</v>
      </c>
      <c r="K18" s="210" t="n">
        <v>0</v>
      </c>
      <c r="L18" s="210" t="n">
        <v>0</v>
      </c>
      <c r="M18" s="210" t="n">
        <v>0</v>
      </c>
      <c r="N18" s="210" t="n">
        <v>0</v>
      </c>
      <c r="O18" s="210" t="n">
        <v>0</v>
      </c>
      <c r="P18" s="130" t="n">
        <f aca="false">SUM(D18:O18)</f>
        <v>0</v>
      </c>
      <c r="Q18" s="131" t="n">
        <f aca="false">SUM(D18:J18)</f>
        <v>0</v>
      </c>
      <c r="R18" s="130" t="n">
        <f aca="false">P18-Q18</f>
        <v>0</v>
      </c>
      <c r="S18" s="130"/>
      <c r="T18" s="210" t="n">
        <v>0</v>
      </c>
      <c r="U18" s="210" t="n">
        <v>0</v>
      </c>
      <c r="V18" s="157" t="n">
        <f aca="false">T18-U18</f>
        <v>0</v>
      </c>
      <c r="W18" s="103"/>
      <c r="X18" s="103"/>
      <c r="Y18" s="103"/>
      <c r="Z18" s="103"/>
      <c r="AA18" s="103" t="str">
        <f aca="false">A18</f>
        <v>   Deferred Severance / Relocation Charges</v>
      </c>
      <c r="AB18" s="103"/>
      <c r="AC18" s="103"/>
      <c r="AD18" s="157" t="n">
        <f aca="false">CASHFLOW!D136-'CF-Partnership, NNG &amp; 53K'!D18</f>
        <v>-0</v>
      </c>
      <c r="AE18" s="157" t="n">
        <f aca="false">CASHFLOW!E136-'CF-Partnership, NNG &amp; 53K'!E18</f>
        <v>-0</v>
      </c>
      <c r="AF18" s="157" t="n">
        <f aca="false">CASHFLOW!F136-'CF-Partnership, NNG &amp; 53K'!F18</f>
        <v>-0</v>
      </c>
      <c r="AG18" s="157" t="n">
        <f aca="false">CASHFLOW!G136-'CF-Partnership, NNG &amp; 53K'!G18</f>
        <v>-0</v>
      </c>
      <c r="AH18" s="157" t="n">
        <f aca="false">CASHFLOW!H136-'CF-Partnership, NNG &amp; 53K'!H18</f>
        <v>-0</v>
      </c>
      <c r="AI18" s="157" t="n">
        <f aca="false">CASHFLOW!I136-'CF-Partnership, NNG &amp; 53K'!I18</f>
        <v>-0</v>
      </c>
      <c r="AJ18" s="157" t="n">
        <f aca="false">CASHFLOW!J136-'CF-Partnership, NNG &amp; 53K'!J18</f>
        <v>-0</v>
      </c>
      <c r="AK18" s="157" t="n">
        <f aca="false">CASHFLOW!K136-'CF-Partnership, NNG &amp; 53K'!K18</f>
        <v>-0</v>
      </c>
      <c r="AL18" s="157" t="n">
        <f aca="false">CASHFLOW!L136-'CF-Partnership, NNG &amp; 53K'!L18</f>
        <v>-0</v>
      </c>
      <c r="AM18" s="157" t="n">
        <f aca="false">CASHFLOW!M136-'CF-Partnership, NNG &amp; 53K'!M18</f>
        <v>-0</v>
      </c>
      <c r="AN18" s="157" t="n">
        <f aca="false">CASHFLOW!N136-'CF-Partnership, NNG &amp; 53K'!N18</f>
        <v>-0</v>
      </c>
      <c r="AO18" s="157" t="n">
        <f aca="false">CASHFLOW!O136-'CF-Partnership, NNG &amp; 53K'!O18</f>
        <v>-0</v>
      </c>
      <c r="AP18" s="130" t="n">
        <f aca="false">SUM(AD18:AO18)</f>
        <v>0</v>
      </c>
      <c r="AQ18" s="131" t="n">
        <f aca="false">SUM(AD18:AJ18)</f>
        <v>0</v>
      </c>
      <c r="AR18" s="130" t="n">
        <f aca="false">AP18-AQ18</f>
        <v>0</v>
      </c>
      <c r="AS18" s="130"/>
      <c r="AT18" s="210" t="n">
        <v>0</v>
      </c>
      <c r="AU18" s="210" t="n">
        <v>0</v>
      </c>
      <c r="AV18" s="157" t="n">
        <f aca="false">AT18-AU18</f>
        <v>0</v>
      </c>
    </row>
    <row r="19" customFormat="false" ht="12.75" hidden="false" customHeight="true" outlineLevel="0" collapsed="false">
      <c r="A19" s="202" t="str">
        <f aca="false">CASHFLOW!A137</f>
        <v>   Other Regulatory Assets / Liabilities</v>
      </c>
      <c r="B19" s="103"/>
      <c r="C19" s="103"/>
      <c r="D19" s="210" t="n">
        <v>0</v>
      </c>
      <c r="E19" s="210" t="n">
        <v>0</v>
      </c>
      <c r="F19" s="210" t="n">
        <v>0</v>
      </c>
      <c r="G19" s="210" t="n">
        <v>0</v>
      </c>
      <c r="H19" s="210" t="n">
        <v>0</v>
      </c>
      <c r="I19" s="210" t="n">
        <v>0</v>
      </c>
      <c r="J19" s="210" t="n">
        <v>0</v>
      </c>
      <c r="K19" s="210" t="n">
        <v>0</v>
      </c>
      <c r="L19" s="210" t="n">
        <v>0</v>
      </c>
      <c r="M19" s="210" t="n">
        <v>0</v>
      </c>
      <c r="N19" s="210" t="n">
        <v>0</v>
      </c>
      <c r="O19" s="210" t="n">
        <v>0</v>
      </c>
      <c r="P19" s="130" t="n">
        <f aca="false">SUM(D19:O19)</f>
        <v>0</v>
      </c>
      <c r="Q19" s="131" t="n">
        <f aca="false">SUM(D19:J19)</f>
        <v>0</v>
      </c>
      <c r="R19" s="130" t="n">
        <f aca="false">P19-Q19</f>
        <v>0</v>
      </c>
      <c r="S19" s="130"/>
      <c r="T19" s="210" t="n">
        <v>0</v>
      </c>
      <c r="U19" s="210" t="n">
        <v>0</v>
      </c>
      <c r="V19" s="157" t="n">
        <f aca="false">T19-U19</f>
        <v>0</v>
      </c>
      <c r="W19" s="103"/>
      <c r="X19" s="103"/>
      <c r="Y19" s="103"/>
      <c r="Z19" s="103"/>
      <c r="AA19" s="103" t="str">
        <f aca="false">A19</f>
        <v>   Other Regulatory Assets / Liabilities</v>
      </c>
      <c r="AB19" s="103"/>
      <c r="AC19" s="103"/>
      <c r="AD19" s="157" t="n">
        <f aca="false">CASHFLOW!D137-'CF-Partnership, NNG &amp; 53K'!D19</f>
        <v>-2772</v>
      </c>
      <c r="AE19" s="157" t="n">
        <f aca="false">CASHFLOW!E137-'CF-Partnership, NNG &amp; 53K'!E19</f>
        <v>3495</v>
      </c>
      <c r="AF19" s="157" t="n">
        <f aca="false">CASHFLOW!F137-'CF-Partnership, NNG &amp; 53K'!F19</f>
        <v>346</v>
      </c>
      <c r="AG19" s="157" t="n">
        <f aca="false">CASHFLOW!G137-'CF-Partnership, NNG &amp; 53K'!G19</f>
        <v>1502</v>
      </c>
      <c r="AH19" s="157" t="n">
        <f aca="false">CASHFLOW!H137-'CF-Partnership, NNG &amp; 53K'!H19</f>
        <v>4305</v>
      </c>
      <c r="AI19" s="157" t="n">
        <f aca="false">CASHFLOW!I137-'CF-Partnership, NNG &amp; 53K'!I19</f>
        <v>3265</v>
      </c>
      <c r="AJ19" s="157" t="n">
        <f aca="false">CASHFLOW!J137-'CF-Partnership, NNG &amp; 53K'!J19</f>
        <v>3422</v>
      </c>
      <c r="AK19" s="157" t="n">
        <f aca="false">CASHFLOW!K137-'CF-Partnership, NNG &amp; 53K'!K19</f>
        <v>341</v>
      </c>
      <c r="AL19" s="157" t="n">
        <f aca="false">CASHFLOW!L137-'CF-Partnership, NNG &amp; 53K'!L19</f>
        <v>418</v>
      </c>
      <c r="AM19" s="157" t="n">
        <f aca="false">CASHFLOW!M137-'CF-Partnership, NNG &amp; 53K'!M19</f>
        <v>317</v>
      </c>
      <c r="AN19" s="157" t="n">
        <f aca="false">CASHFLOW!N137-'CF-Partnership, NNG &amp; 53K'!N19</f>
        <v>918</v>
      </c>
      <c r="AO19" s="157" t="n">
        <f aca="false">CASHFLOW!O137-'CF-Partnership, NNG &amp; 53K'!O19</f>
        <v>-9786</v>
      </c>
      <c r="AP19" s="130" t="n">
        <f aca="false">SUM(AD19:AO19)</f>
        <v>5771</v>
      </c>
      <c r="AQ19" s="131" t="n">
        <f aca="false">SUM(AD19:AJ19)</f>
        <v>13563</v>
      </c>
      <c r="AR19" s="130" t="n">
        <f aca="false">AP19-AQ19</f>
        <v>-7792</v>
      </c>
      <c r="AS19" s="130"/>
      <c r="AT19" s="210" t="n">
        <v>0</v>
      </c>
      <c r="AU19" s="210" t="n">
        <v>0</v>
      </c>
      <c r="AV19" s="157" t="n">
        <f aca="false">AT19-AU19</f>
        <v>0</v>
      </c>
    </row>
    <row r="20" customFormat="false" ht="12.75" hidden="false" customHeight="true" outlineLevel="0" collapsed="false">
      <c r="A20" s="202" t="str">
        <f aca="false">CASHFLOW!A138</f>
        <v>   Price Risk Management Activities (Net)</v>
      </c>
      <c r="B20" s="103"/>
      <c r="C20" s="103"/>
      <c r="D20" s="210" t="n">
        <v>0</v>
      </c>
      <c r="E20" s="210" t="n">
        <v>0</v>
      </c>
      <c r="F20" s="210" t="n">
        <v>0</v>
      </c>
      <c r="G20" s="210" t="n">
        <v>0</v>
      </c>
      <c r="H20" s="210" t="n">
        <v>0</v>
      </c>
      <c r="I20" s="210" t="n">
        <v>0</v>
      </c>
      <c r="J20" s="210" t="n">
        <v>0</v>
      </c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130" t="n">
        <f aca="false">SUM(D20:O20)</f>
        <v>0</v>
      </c>
      <c r="Q20" s="131" t="n">
        <f aca="false">SUM(D20:J20)</f>
        <v>0</v>
      </c>
      <c r="R20" s="130" t="n">
        <f aca="false">P20-Q20</f>
        <v>0</v>
      </c>
      <c r="S20" s="130"/>
      <c r="T20" s="210" t="n">
        <v>0</v>
      </c>
      <c r="U20" s="210" t="n">
        <v>0</v>
      </c>
      <c r="V20" s="157" t="n">
        <f aca="false">T20-U20</f>
        <v>0</v>
      </c>
      <c r="W20" s="103"/>
      <c r="X20" s="103"/>
      <c r="Y20" s="103"/>
      <c r="Z20" s="103"/>
      <c r="AA20" s="103" t="str">
        <f aca="false">A20</f>
        <v>   Price Risk Management Activities (Net)</v>
      </c>
      <c r="AB20" s="103"/>
      <c r="AC20" s="103"/>
      <c r="AD20" s="157" t="n">
        <f aca="false">CASHFLOW!D138-'CF-Partnership, NNG &amp; 53K'!D20</f>
        <v>-483</v>
      </c>
      <c r="AE20" s="157" t="n">
        <f aca="false">CASHFLOW!E138-'CF-Partnership, NNG &amp; 53K'!E20</f>
        <v>75</v>
      </c>
      <c r="AF20" s="157" t="n">
        <f aca="false">CASHFLOW!F138-'CF-Partnership, NNG &amp; 53K'!F20</f>
        <v>62</v>
      </c>
      <c r="AG20" s="157" t="n">
        <f aca="false">CASHFLOW!G138-'CF-Partnership, NNG &amp; 53K'!G20</f>
        <v>153</v>
      </c>
      <c r="AH20" s="157" t="n">
        <f aca="false">CASHFLOW!H138-'CF-Partnership, NNG &amp; 53K'!H20</f>
        <v>141</v>
      </c>
      <c r="AI20" s="157" t="n">
        <f aca="false">CASHFLOW!I138-'CF-Partnership, NNG &amp; 53K'!I20</f>
        <v>138</v>
      </c>
      <c r="AJ20" s="157" t="n">
        <f aca="false">CASHFLOW!J138-'CF-Partnership, NNG &amp; 53K'!J20</f>
        <v>717</v>
      </c>
      <c r="AK20" s="157" t="n">
        <f aca="false">CASHFLOW!K138-'CF-Partnership, NNG &amp; 53K'!K20</f>
        <v>0</v>
      </c>
      <c r="AL20" s="157" t="n">
        <f aca="false">CASHFLOW!L138-'CF-Partnership, NNG &amp; 53K'!L20</f>
        <v>0</v>
      </c>
      <c r="AM20" s="157" t="n">
        <f aca="false">CASHFLOW!M138-'CF-Partnership, NNG &amp; 53K'!M20</f>
        <v>0</v>
      </c>
      <c r="AN20" s="157" t="n">
        <f aca="false">CASHFLOW!N138-'CF-Partnership, NNG &amp; 53K'!N20</f>
        <v>0</v>
      </c>
      <c r="AO20" s="157" t="n">
        <f aca="false">CASHFLOW!O138-'CF-Partnership, NNG &amp; 53K'!O20</f>
        <v>0</v>
      </c>
      <c r="AP20" s="130" t="n">
        <f aca="false">SUM(AD20:AO20)</f>
        <v>803</v>
      </c>
      <c r="AQ20" s="131" t="n">
        <f aca="false">SUM(AD20:AJ20)</f>
        <v>803</v>
      </c>
      <c r="AR20" s="130" t="n">
        <f aca="false">AP20-AQ20</f>
        <v>0</v>
      </c>
      <c r="AS20" s="130"/>
      <c r="AT20" s="210" t="n">
        <v>0</v>
      </c>
      <c r="AU20" s="210" t="n">
        <v>0</v>
      </c>
      <c r="AV20" s="157" t="n">
        <f aca="false">AT20-AU20</f>
        <v>0</v>
      </c>
    </row>
    <row r="21" customFormat="false" ht="12.75" hidden="false" customHeight="true" outlineLevel="0" collapsed="false">
      <c r="A21" s="202" t="str">
        <f aca="false">CASHFLOW!A139</f>
        <v>   Equity Earnings</v>
      </c>
      <c r="B21" s="103"/>
      <c r="C21" s="103"/>
      <c r="D21" s="130" t="n">
        <f aca="false">CASHFLOW!D30</f>
        <v>-525</v>
      </c>
      <c r="E21" s="130" t="n">
        <f aca="false">CASHFLOW!E30</f>
        <v>-329</v>
      </c>
      <c r="F21" s="130" t="n">
        <f aca="false">CASHFLOW!F30</f>
        <v>-313</v>
      </c>
      <c r="G21" s="130" t="n">
        <f aca="false">CASHFLOW!G30</f>
        <v>-1284</v>
      </c>
      <c r="H21" s="130" t="n">
        <f aca="false">CASHFLOW!H30</f>
        <v>-318</v>
      </c>
      <c r="I21" s="130" t="n">
        <f aca="false">CASHFLOW!I30</f>
        <v>-436</v>
      </c>
      <c r="J21" s="130" t="n">
        <f aca="false">CASHFLOW!J30</f>
        <v>-335</v>
      </c>
      <c r="K21" s="130" t="n">
        <f aca="false">CASHFLOW!K30</f>
        <v>-270</v>
      </c>
      <c r="L21" s="130" t="n">
        <f aca="false">CASHFLOW!L30</f>
        <v>-324</v>
      </c>
      <c r="M21" s="130" t="n">
        <f aca="false">CASHFLOW!M30</f>
        <v>-325</v>
      </c>
      <c r="N21" s="130" t="n">
        <f aca="false">CASHFLOW!N30</f>
        <v>-342</v>
      </c>
      <c r="O21" s="130" t="n">
        <f aca="false">CASHFLOW!O30</f>
        <v>-16</v>
      </c>
      <c r="P21" s="130" t="n">
        <f aca="false">SUM(D21:O21)</f>
        <v>-4817</v>
      </c>
      <c r="Q21" s="131" t="n">
        <f aca="false">SUM(D21:J21)</f>
        <v>-3540</v>
      </c>
      <c r="R21" s="130" t="n">
        <f aca="false">P21-Q21</f>
        <v>-1277</v>
      </c>
      <c r="S21" s="130"/>
      <c r="T21" s="210" t="n">
        <v>0</v>
      </c>
      <c r="U21" s="210" t="n">
        <v>0</v>
      </c>
      <c r="V21" s="157" t="n">
        <f aca="false">T21-U21</f>
        <v>0</v>
      </c>
      <c r="W21" s="103"/>
      <c r="X21" s="103"/>
      <c r="Y21" s="103"/>
      <c r="Z21" s="103"/>
      <c r="AA21" s="103" t="str">
        <f aca="false">A21</f>
        <v>   Equity Earnings</v>
      </c>
      <c r="AB21" s="103"/>
      <c r="AC21" s="103"/>
      <c r="AD21" s="157" t="n">
        <f aca="false">CASHFLOW!D139-'CF-Partnership, NNG &amp; 53K'!D21</f>
        <v>0</v>
      </c>
      <c r="AE21" s="157" t="n">
        <f aca="false">CASHFLOW!E139-'CF-Partnership, NNG &amp; 53K'!E21</f>
        <v>0</v>
      </c>
      <c r="AF21" s="157" t="n">
        <f aca="false">CASHFLOW!F139-'CF-Partnership, NNG &amp; 53K'!F21</f>
        <v>0</v>
      </c>
      <c r="AG21" s="157" t="n">
        <f aca="false">CASHFLOW!G139-'CF-Partnership, NNG &amp; 53K'!G21</f>
        <v>0</v>
      </c>
      <c r="AH21" s="157" t="n">
        <f aca="false">CASHFLOW!H139-'CF-Partnership, NNG &amp; 53K'!H21</f>
        <v>0</v>
      </c>
      <c r="AI21" s="157" t="n">
        <f aca="false">CASHFLOW!I139-'CF-Partnership, NNG &amp; 53K'!I21</f>
        <v>0</v>
      </c>
      <c r="AJ21" s="157" t="n">
        <f aca="false">CASHFLOW!J139-'CF-Partnership, NNG &amp; 53K'!J21</f>
        <v>0</v>
      </c>
      <c r="AK21" s="157" t="n">
        <f aca="false">CASHFLOW!K139-'CF-Partnership, NNG &amp; 53K'!K21</f>
        <v>0</v>
      </c>
      <c r="AL21" s="157" t="n">
        <f aca="false">CASHFLOW!L139-'CF-Partnership, NNG &amp; 53K'!L21</f>
        <v>0</v>
      </c>
      <c r="AM21" s="157" t="n">
        <f aca="false">CASHFLOW!M139-'CF-Partnership, NNG &amp; 53K'!M21</f>
        <v>0</v>
      </c>
      <c r="AN21" s="157" t="n">
        <f aca="false">CASHFLOW!N139-'CF-Partnership, NNG &amp; 53K'!N21</f>
        <v>0</v>
      </c>
      <c r="AO21" s="157" t="n">
        <f aca="false">CASHFLOW!O139-'CF-Partnership, NNG &amp; 53K'!O21</f>
        <v>0</v>
      </c>
      <c r="AP21" s="130" t="n">
        <f aca="false">SUM(AD21:AO21)</f>
        <v>0</v>
      </c>
      <c r="AQ21" s="131" t="n">
        <f aca="false">SUM(AD21:AJ21)</f>
        <v>0</v>
      </c>
      <c r="AR21" s="130" t="n">
        <f aca="false">AP21-AQ21</f>
        <v>0</v>
      </c>
      <c r="AS21" s="130"/>
      <c r="AT21" s="210" t="n">
        <v>0</v>
      </c>
      <c r="AU21" s="210" t="n">
        <v>0</v>
      </c>
      <c r="AV21" s="157" t="n">
        <f aca="false">AT21-AU21</f>
        <v>0</v>
      </c>
    </row>
    <row r="22" customFormat="false" ht="12.75" hidden="false" customHeight="true" outlineLevel="0" collapsed="false">
      <c r="A22" s="202" t="str">
        <f aca="false">CASHFLOW!A140</f>
        <v>   Equity / Partner. Distributions / Overthrust Sale (Book Basis)</v>
      </c>
      <c r="B22" s="103"/>
      <c r="C22" s="103"/>
      <c r="D22" s="130" t="n">
        <f aca="false">CASHFLOW!D31</f>
        <v>0</v>
      </c>
      <c r="E22" s="130" t="n">
        <f aca="false">CASHFLOW!E31</f>
        <v>0</v>
      </c>
      <c r="F22" s="130" t="n">
        <f aca="false">CASHFLOW!F31</f>
        <v>800</v>
      </c>
      <c r="G22" s="130" t="n">
        <f aca="false">CASHFLOW!G31</f>
        <v>0</v>
      </c>
      <c r="H22" s="130" t="n">
        <f aca="false">CASHFLOW!H31</f>
        <v>0</v>
      </c>
      <c r="I22" s="130" t="n">
        <f aca="false">CASHFLOW!I31</f>
        <v>3800</v>
      </c>
      <c r="J22" s="130" t="n">
        <f aca="false">CASHFLOW!J31</f>
        <v>0</v>
      </c>
      <c r="K22" s="130" t="n">
        <f aca="false">CASHFLOW!K31</f>
        <v>2000</v>
      </c>
      <c r="L22" s="130" t="n">
        <f aca="false">CASHFLOW!L31</f>
        <v>800</v>
      </c>
      <c r="M22" s="130" t="n">
        <f aca="false">CASHFLOW!M31</f>
        <v>0</v>
      </c>
      <c r="N22" s="130" t="n">
        <f aca="false">CASHFLOW!N31</f>
        <v>0</v>
      </c>
      <c r="O22" s="130" t="n">
        <f aca="false">CASHFLOW!O31</f>
        <v>800</v>
      </c>
      <c r="P22" s="130" t="n">
        <f aca="false">SUM(D22:O22)</f>
        <v>8200</v>
      </c>
      <c r="Q22" s="131" t="n">
        <f aca="false">SUM(D22:J22)</f>
        <v>4600</v>
      </c>
      <c r="R22" s="130" t="n">
        <f aca="false">P22-Q22</f>
        <v>3600</v>
      </c>
      <c r="S22" s="130"/>
      <c r="T22" s="210" t="n">
        <v>0</v>
      </c>
      <c r="U22" s="210" t="n">
        <v>0</v>
      </c>
      <c r="V22" s="157" t="n">
        <f aca="false">T22-U22</f>
        <v>0</v>
      </c>
      <c r="W22" s="103"/>
      <c r="X22" s="103"/>
      <c r="Y22" s="103"/>
      <c r="Z22" s="103"/>
      <c r="AA22" s="103" t="str">
        <f aca="false">A22</f>
        <v>   Equity / Partner. Distributions / Overthrust Sale (Book Basis)</v>
      </c>
      <c r="AB22" s="103"/>
      <c r="AC22" s="103"/>
      <c r="AD22" s="157" t="n">
        <f aca="false">CASHFLOW!D140-'CF-Partnership, NNG &amp; 53K'!D22</f>
        <v>0</v>
      </c>
      <c r="AE22" s="157" t="n">
        <f aca="false">CASHFLOW!E140-'CF-Partnership, NNG &amp; 53K'!E22</f>
        <v>0</v>
      </c>
      <c r="AF22" s="157" t="n">
        <f aca="false">CASHFLOW!F140-'CF-Partnership, NNG &amp; 53K'!F22</f>
        <v>0</v>
      </c>
      <c r="AG22" s="157" t="n">
        <f aca="false">CASHFLOW!G140-'CF-Partnership, NNG &amp; 53K'!G22</f>
        <v>0</v>
      </c>
      <c r="AH22" s="157" t="n">
        <f aca="false">CASHFLOW!H140-'CF-Partnership, NNG &amp; 53K'!H22</f>
        <v>0</v>
      </c>
      <c r="AI22" s="157" t="n">
        <f aca="false">CASHFLOW!I140-'CF-Partnership, NNG &amp; 53K'!I22</f>
        <v>0</v>
      </c>
      <c r="AJ22" s="157" t="n">
        <f aca="false">CASHFLOW!J140-'CF-Partnership, NNG &amp; 53K'!J22</f>
        <v>0</v>
      </c>
      <c r="AK22" s="157" t="n">
        <f aca="false">CASHFLOW!K140-'CF-Partnership, NNG &amp; 53K'!K22</f>
        <v>0</v>
      </c>
      <c r="AL22" s="157" t="n">
        <f aca="false">CASHFLOW!L140-'CF-Partnership, NNG &amp; 53K'!L22</f>
        <v>0</v>
      </c>
      <c r="AM22" s="157" t="n">
        <f aca="false">CASHFLOW!M140-'CF-Partnership, NNG &amp; 53K'!M22</f>
        <v>0</v>
      </c>
      <c r="AN22" s="157" t="n">
        <f aca="false">CASHFLOW!N140-'CF-Partnership, NNG &amp; 53K'!N22</f>
        <v>0</v>
      </c>
      <c r="AO22" s="157" t="n">
        <f aca="false">CASHFLOW!O140-'CF-Partnership, NNG &amp; 53K'!O22</f>
        <v>0</v>
      </c>
      <c r="AP22" s="130" t="n">
        <f aca="false">SUM(AD22:AO22)</f>
        <v>0</v>
      </c>
      <c r="AQ22" s="131" t="n">
        <f aca="false">SUM(AD22:AJ22)</f>
        <v>0</v>
      </c>
      <c r="AR22" s="130" t="n">
        <f aca="false">AP22-AQ22</f>
        <v>0</v>
      </c>
      <c r="AS22" s="130"/>
      <c r="AT22" s="210" t="n">
        <v>0</v>
      </c>
      <c r="AU22" s="210" t="n">
        <v>0</v>
      </c>
      <c r="AV22" s="157" t="n">
        <f aca="false">AT22-AU22</f>
        <v>0</v>
      </c>
    </row>
    <row r="23" customFormat="false" ht="12.75" hidden="false" customHeight="true" outlineLevel="0" collapsed="false">
      <c r="A23" s="202" t="str">
        <f aca="false">CASHFLOW!A141</f>
        <v>   Other (Incl. All Capital Costs &amp; Current Reserve Activity) </v>
      </c>
      <c r="B23" s="103"/>
      <c r="C23" s="103"/>
      <c r="D23" s="211" t="n">
        <v>0</v>
      </c>
      <c r="E23" s="211" t="n">
        <v>0</v>
      </c>
      <c r="F23" s="211" t="n">
        <v>0</v>
      </c>
      <c r="G23" s="211" t="n">
        <v>0</v>
      </c>
      <c r="H23" s="211" t="n">
        <v>0</v>
      </c>
      <c r="I23" s="211" t="n">
        <v>0</v>
      </c>
      <c r="J23" s="211" t="n">
        <v>0</v>
      </c>
      <c r="K23" s="211" t="n">
        <v>0</v>
      </c>
      <c r="L23" s="211" t="n">
        <v>0</v>
      </c>
      <c r="M23" s="211" t="n">
        <v>0</v>
      </c>
      <c r="N23" s="211" t="n">
        <v>0</v>
      </c>
      <c r="O23" s="211" t="n">
        <v>0</v>
      </c>
      <c r="P23" s="143" t="n">
        <f aca="false">SUM(D23:O23)</f>
        <v>0</v>
      </c>
      <c r="Q23" s="140" t="n">
        <f aca="false">SUM(D23:J23)</f>
        <v>0</v>
      </c>
      <c r="R23" s="143" t="n">
        <f aca="false">P23-Q23</f>
        <v>0</v>
      </c>
      <c r="S23" s="143"/>
      <c r="T23" s="211" t="n">
        <v>0</v>
      </c>
      <c r="U23" s="211" t="n">
        <v>0</v>
      </c>
      <c r="V23" s="159" t="n">
        <f aca="false">T23-U23</f>
        <v>0</v>
      </c>
      <c r="W23" s="103"/>
      <c r="X23" s="103"/>
      <c r="Y23" s="103"/>
      <c r="Z23" s="103"/>
      <c r="AA23" s="103" t="str">
        <f aca="false">A23</f>
        <v>   Other (Incl. All Capital Costs &amp; Current Reserve Activity) </v>
      </c>
      <c r="AB23" s="103"/>
      <c r="AC23" s="103"/>
      <c r="AD23" s="159" t="n">
        <f aca="false">CASHFLOW!D141-'CF-Partnership, NNG &amp; 53K'!D23</f>
        <v>1266</v>
      </c>
      <c r="AE23" s="159" t="n">
        <f aca="false">CASHFLOW!E141-'CF-Partnership, NNG &amp; 53K'!E23</f>
        <v>-524</v>
      </c>
      <c r="AF23" s="159" t="n">
        <f aca="false">CASHFLOW!F141-'CF-Partnership, NNG &amp; 53K'!F23</f>
        <v>-3806</v>
      </c>
      <c r="AG23" s="159" t="n">
        <f aca="false">CASHFLOW!G141-'CF-Partnership, NNG &amp; 53K'!G23</f>
        <v>-412</v>
      </c>
      <c r="AH23" s="159" t="n">
        <f aca="false">CASHFLOW!H141-'CF-Partnership, NNG &amp; 53K'!H23</f>
        <v>101</v>
      </c>
      <c r="AI23" s="159" t="n">
        <f aca="false">CASHFLOW!I141-'CF-Partnership, NNG &amp; 53K'!I23</f>
        <v>-1192</v>
      </c>
      <c r="AJ23" s="159" t="n">
        <f aca="false">CASHFLOW!J141-'CF-Partnership, NNG &amp; 53K'!J23</f>
        <v>-1202</v>
      </c>
      <c r="AK23" s="159" t="n">
        <f aca="false">CASHFLOW!K141-'CF-Partnership, NNG &amp; 53K'!K23</f>
        <v>-158</v>
      </c>
      <c r="AL23" s="159" t="n">
        <f aca="false">CASHFLOW!L141-'CF-Partnership, NNG &amp; 53K'!L23</f>
        <v>-219</v>
      </c>
      <c r="AM23" s="159" t="n">
        <f aca="false">CASHFLOW!M141-'CF-Partnership, NNG &amp; 53K'!M23</f>
        <v>-161</v>
      </c>
      <c r="AN23" s="159" t="n">
        <f aca="false">CASHFLOW!N141-'CF-Partnership, NNG &amp; 53K'!N23</f>
        <v>-86</v>
      </c>
      <c r="AO23" s="159" t="n">
        <f aca="false">CASHFLOW!O141-'CF-Partnership, NNG &amp; 53K'!O23</f>
        <v>-377</v>
      </c>
      <c r="AP23" s="143" t="n">
        <f aca="false">SUM(AD23:AO23)</f>
        <v>-6770</v>
      </c>
      <c r="AQ23" s="140" t="n">
        <f aca="false">SUM(AD23:AJ23)</f>
        <v>-5769</v>
      </c>
      <c r="AR23" s="143" t="n">
        <f aca="false">AP23-AQ23</f>
        <v>-1001</v>
      </c>
      <c r="AS23" s="143"/>
      <c r="AT23" s="211" t="n">
        <v>0</v>
      </c>
      <c r="AU23" s="211" t="n">
        <v>0</v>
      </c>
      <c r="AV23" s="159" t="n">
        <f aca="false">AT23-AU23</f>
        <v>0</v>
      </c>
    </row>
    <row r="24" customFormat="false" ht="3.95" hidden="false" customHeight="true" outlineLevel="0" collapsed="false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</row>
    <row r="25" customFormat="false" ht="12.75" hidden="false" customHeight="true" outlineLevel="0" collapsed="false">
      <c r="A25" s="196" t="str">
        <f aca="false">CASHFLOW!A143</f>
        <v>            Total Funds Flow From Operations</v>
      </c>
      <c r="B25" s="103"/>
      <c r="C25" s="103"/>
      <c r="D25" s="164" t="n">
        <f aca="false">SUM(D16:D23)</f>
        <v>-268</v>
      </c>
      <c r="E25" s="164" t="n">
        <f aca="false">SUM(E16:E23)</f>
        <v>-199</v>
      </c>
      <c r="F25" s="164" t="n">
        <f aca="false">SUM(F16:F23)</f>
        <v>605</v>
      </c>
      <c r="G25" s="164" t="n">
        <f aca="false">SUM(G16:G23)</f>
        <v>-534</v>
      </c>
      <c r="H25" s="164" t="n">
        <f aca="false">SUM(H16:H23)</f>
        <v>-195</v>
      </c>
      <c r="I25" s="164" t="n">
        <f aca="false">SUM(I16:I23)</f>
        <v>3563</v>
      </c>
      <c r="J25" s="164" t="n">
        <f aca="false">SUM(J16:J23)</f>
        <v>-202</v>
      </c>
      <c r="K25" s="164" t="n">
        <f aca="false">SUM(K16:K23)</f>
        <v>1822</v>
      </c>
      <c r="L25" s="164" t="n">
        <f aca="false">SUM(L16:L23)</f>
        <v>603</v>
      </c>
      <c r="M25" s="164" t="n">
        <f aca="false">SUM(M16:M23)</f>
        <v>-238</v>
      </c>
      <c r="N25" s="164" t="n">
        <f aca="false">SUM(N16:N23)</f>
        <v>-252</v>
      </c>
      <c r="O25" s="164" t="n">
        <f aca="false">SUM(O16:O23)</f>
        <v>798</v>
      </c>
      <c r="P25" s="164" t="n">
        <f aca="false">SUM(P16:P23)</f>
        <v>5503</v>
      </c>
      <c r="Q25" s="164" t="n">
        <f aca="false">SUM(Q16:Q23)</f>
        <v>2770</v>
      </c>
      <c r="R25" s="164" t="n">
        <f aca="false">SUM(R16:R23)</f>
        <v>2733</v>
      </c>
      <c r="S25" s="166"/>
      <c r="T25" s="164" t="n">
        <f aca="false">SUM(T16:T23)</f>
        <v>0</v>
      </c>
      <c r="U25" s="164" t="n">
        <f aca="false">SUM(U16:U23)</f>
        <v>0</v>
      </c>
      <c r="V25" s="164" t="n">
        <f aca="false">SUM(V16:V23)</f>
        <v>0</v>
      </c>
      <c r="W25" s="103"/>
      <c r="X25" s="103"/>
      <c r="Y25" s="103"/>
      <c r="Z25" s="103"/>
      <c r="AA25" s="100" t="str">
        <f aca="false">A25</f>
        <v>            Total Funds Flow From Operations</v>
      </c>
      <c r="AB25" s="103"/>
      <c r="AC25" s="103"/>
      <c r="AD25" s="164" t="n">
        <f aca="false">SUM(AD16:AD23)</f>
        <v>24758</v>
      </c>
      <c r="AE25" s="164" t="n">
        <f aca="false">SUM(AE16:AE23)</f>
        <v>25445</v>
      </c>
      <c r="AF25" s="164" t="n">
        <f aca="false">SUM(AF16:AF23)</f>
        <v>16924</v>
      </c>
      <c r="AG25" s="164" t="n">
        <f aca="false">SUM(AG16:AG23)</f>
        <v>30724</v>
      </c>
      <c r="AH25" s="164" t="n">
        <f aca="false">SUM(AH16:AH23)</f>
        <v>10746</v>
      </c>
      <c r="AI25" s="164" t="n">
        <f aca="false">SUM(AI16:AI23)</f>
        <v>5441</v>
      </c>
      <c r="AJ25" s="164" t="n">
        <f aca="false">SUM(AJ16:AJ23)</f>
        <v>9063</v>
      </c>
      <c r="AK25" s="164" t="n">
        <f aca="false">SUM(AK16:AK23)</f>
        <v>9759</v>
      </c>
      <c r="AL25" s="164" t="n">
        <f aca="false">SUM(AL16:AL23)</f>
        <v>6825</v>
      </c>
      <c r="AM25" s="164" t="n">
        <f aca="false">SUM(AM16:AM23)</f>
        <v>-7730</v>
      </c>
      <c r="AN25" s="164" t="n">
        <f aca="false">SUM(AN16:AN23)</f>
        <v>19722</v>
      </c>
      <c r="AO25" s="164" t="n">
        <f aca="false">SUM(AO16:AO23)</f>
        <v>8938</v>
      </c>
      <c r="AP25" s="164" t="n">
        <f aca="false">SUM(AP16:AP23)</f>
        <v>160615</v>
      </c>
      <c r="AQ25" s="164" t="n">
        <f aca="false">SUM(AQ16:AQ23)</f>
        <v>123101</v>
      </c>
      <c r="AR25" s="164" t="n">
        <f aca="false">SUM(AR16:AR23)</f>
        <v>37514</v>
      </c>
      <c r="AS25" s="166"/>
      <c r="AT25" s="164" t="n">
        <f aca="false">SUM(AT16:AT23)</f>
        <v>0</v>
      </c>
      <c r="AU25" s="164" t="n">
        <f aca="false">SUM(AU16:AU23)</f>
        <v>0</v>
      </c>
      <c r="AV25" s="164" t="n">
        <f aca="false">SUM(AV16:AV23)</f>
        <v>0</v>
      </c>
    </row>
    <row r="26" customFormat="false" ht="3.95" hidden="false" customHeight="true" outlineLevel="0" collapsed="false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</row>
    <row r="27" customFormat="false" ht="12.75" hidden="false" customHeight="true" outlineLevel="0" collapsed="false">
      <c r="A27" s="202" t="str">
        <f aca="false">CASHFLOW!A145</f>
        <v>   Working Capital Changes: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 t="str">
        <f aca="false">A27</f>
        <v>   Working Capital Changes:</v>
      </c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</row>
    <row r="28" customFormat="false" ht="12.75" hidden="false" customHeight="true" outlineLevel="0" collapsed="false">
      <c r="A28" s="202" t="str">
        <f aca="false">CASHFLOW!A146</f>
        <v>      Accounts Receivable (Including Exchange Gas Rec.)</v>
      </c>
      <c r="B28" s="103"/>
      <c r="C28" s="103"/>
      <c r="D28" s="210" t="n">
        <v>0</v>
      </c>
      <c r="E28" s="210" t="n">
        <v>0</v>
      </c>
      <c r="F28" s="210" t="n">
        <v>0</v>
      </c>
      <c r="G28" s="210" t="n">
        <v>0</v>
      </c>
      <c r="H28" s="210" t="n">
        <v>0</v>
      </c>
      <c r="I28" s="210" t="n">
        <v>0</v>
      </c>
      <c r="J28" s="210" t="n">
        <v>0</v>
      </c>
      <c r="K28" s="210" t="n">
        <v>0</v>
      </c>
      <c r="L28" s="210" t="n">
        <v>0</v>
      </c>
      <c r="M28" s="210" t="n">
        <v>0</v>
      </c>
      <c r="N28" s="210" t="n">
        <v>0</v>
      </c>
      <c r="O28" s="210" t="n">
        <v>0</v>
      </c>
      <c r="P28" s="130" t="n">
        <f aca="false">SUM(D28:O28)</f>
        <v>0</v>
      </c>
      <c r="Q28" s="131" t="n">
        <f aca="false">SUM(D28:J28)</f>
        <v>0</v>
      </c>
      <c r="R28" s="130" t="n">
        <f aca="false">P28-Q28</f>
        <v>0</v>
      </c>
      <c r="S28" s="130"/>
      <c r="T28" s="210" t="n">
        <v>0</v>
      </c>
      <c r="U28" s="210" t="n">
        <v>0</v>
      </c>
      <c r="V28" s="157" t="n">
        <f aca="false">T28-U28</f>
        <v>0</v>
      </c>
      <c r="W28" s="103"/>
      <c r="X28" s="103"/>
      <c r="Y28" s="103"/>
      <c r="Z28" s="103"/>
      <c r="AA28" s="103" t="str">
        <f aca="false">A28</f>
        <v>      Accounts Receivable (Including Exchange Gas Rec.)</v>
      </c>
      <c r="AB28" s="103"/>
      <c r="AC28" s="103"/>
      <c r="AD28" s="157" t="n">
        <f aca="false">CASHFLOW!D146-'CF-Partnership, NNG &amp; 53K'!D28</f>
        <v>-5968</v>
      </c>
      <c r="AE28" s="157" t="n">
        <f aca="false">CASHFLOW!E146-'CF-Partnership, NNG &amp; 53K'!E28</f>
        <v>14003</v>
      </c>
      <c r="AF28" s="157" t="n">
        <f aca="false">CASHFLOW!F146-'CF-Partnership, NNG &amp; 53K'!F28</f>
        <v>-6349</v>
      </c>
      <c r="AG28" s="157" t="n">
        <f aca="false">CASHFLOW!G146-'CF-Partnership, NNG &amp; 53K'!G28</f>
        <v>20199</v>
      </c>
      <c r="AH28" s="157" t="n">
        <f aca="false">CASHFLOW!H146-'CF-Partnership, NNG &amp; 53K'!H28</f>
        <v>16089</v>
      </c>
      <c r="AI28" s="157" t="n">
        <f aca="false">CASHFLOW!I146-'CF-Partnership, NNG &amp; 53K'!I28</f>
        <v>-11461</v>
      </c>
      <c r="AJ28" s="157" t="n">
        <f aca="false">CASHFLOW!J146-'CF-Partnership, NNG &amp; 53K'!J28</f>
        <v>23021</v>
      </c>
      <c r="AK28" s="157" t="n">
        <f aca="false">CASHFLOW!K146-'CF-Partnership, NNG &amp; 53K'!K28</f>
        <v>-286</v>
      </c>
      <c r="AL28" s="157" t="n">
        <f aca="false">CASHFLOW!L146-'CF-Partnership, NNG &amp; 53K'!L28</f>
        <v>1749</v>
      </c>
      <c r="AM28" s="157" t="n">
        <f aca="false">CASHFLOW!M146-'CF-Partnership, NNG &amp; 53K'!M28</f>
        <v>619</v>
      </c>
      <c r="AN28" s="157" t="n">
        <f aca="false">CASHFLOW!N146-'CF-Partnership, NNG &amp; 53K'!N28</f>
        <v>-28987</v>
      </c>
      <c r="AO28" s="157" t="n">
        <f aca="false">CASHFLOW!O146-'CF-Partnership, NNG &amp; 53K'!O28</f>
        <v>-1198</v>
      </c>
      <c r="AP28" s="130" t="n">
        <f aca="false">SUM(AD28:AO28)</f>
        <v>21431</v>
      </c>
      <c r="AQ28" s="131" t="n">
        <f aca="false">SUM(AD28:AJ28)</f>
        <v>49534</v>
      </c>
      <c r="AR28" s="130" t="n">
        <f aca="false">AP28-AQ28</f>
        <v>-28103</v>
      </c>
      <c r="AS28" s="130"/>
      <c r="AT28" s="210" t="n">
        <v>0</v>
      </c>
      <c r="AU28" s="210" t="n">
        <v>0</v>
      </c>
      <c r="AV28" s="157" t="n">
        <f aca="false">AT28-AU28</f>
        <v>0</v>
      </c>
    </row>
    <row r="29" customFormat="false" ht="12.75" hidden="false" customHeight="true" outlineLevel="0" collapsed="false">
      <c r="A29" s="202" t="str">
        <f aca="false">CASHFLOW!A147</f>
        <v>      Accounts Payable &amp; Other (Including Exchange Gas Pay.)</v>
      </c>
      <c r="B29" s="103"/>
      <c r="C29" s="103"/>
      <c r="D29" s="210" t="n">
        <v>0</v>
      </c>
      <c r="E29" s="210" t="n">
        <v>0</v>
      </c>
      <c r="F29" s="210" t="n">
        <v>0</v>
      </c>
      <c r="G29" s="210" t="n">
        <v>0</v>
      </c>
      <c r="H29" s="210" t="n">
        <v>0</v>
      </c>
      <c r="I29" s="210" t="n">
        <v>0</v>
      </c>
      <c r="J29" s="210" t="n">
        <v>0</v>
      </c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130" t="n">
        <f aca="false">SUM(D29:O29)</f>
        <v>0</v>
      </c>
      <c r="Q29" s="131" t="n">
        <f aca="false">SUM(D29:J29)</f>
        <v>0</v>
      </c>
      <c r="R29" s="130" t="n">
        <f aca="false">P29-Q29</f>
        <v>0</v>
      </c>
      <c r="S29" s="130"/>
      <c r="T29" s="210" t="n">
        <v>0</v>
      </c>
      <c r="U29" s="210" t="n">
        <v>0</v>
      </c>
      <c r="V29" s="157" t="n">
        <f aca="false">T29-U29</f>
        <v>0</v>
      </c>
      <c r="W29" s="103"/>
      <c r="X29" s="103"/>
      <c r="Y29" s="103"/>
      <c r="Z29" s="103"/>
      <c r="AA29" s="103" t="str">
        <f aca="false">A29</f>
        <v>      Accounts Payable &amp; Other (Including Exchange Gas Pay.)</v>
      </c>
      <c r="AB29" s="103"/>
      <c r="AC29" s="103"/>
      <c r="AD29" s="157" t="n">
        <f aca="false">CASHFLOW!D147-'CF-Partnership, NNG &amp; 53K'!D29</f>
        <v>52851</v>
      </c>
      <c r="AE29" s="157" t="n">
        <f aca="false">CASHFLOW!E147-'CF-Partnership, NNG &amp; 53K'!E29</f>
        <v>-53828</v>
      </c>
      <c r="AF29" s="157" t="n">
        <f aca="false">CASHFLOW!F147-'CF-Partnership, NNG &amp; 53K'!F29</f>
        <v>-3137</v>
      </c>
      <c r="AG29" s="157" t="n">
        <f aca="false">CASHFLOW!G147-'CF-Partnership, NNG &amp; 53K'!G29</f>
        <v>-11232</v>
      </c>
      <c r="AH29" s="157" t="n">
        <f aca="false">CASHFLOW!H147-'CF-Partnership, NNG &amp; 53K'!H29</f>
        <v>-9274</v>
      </c>
      <c r="AI29" s="157" t="n">
        <f aca="false">CASHFLOW!I147-'CF-Partnership, NNG &amp; 53K'!I29</f>
        <v>1252</v>
      </c>
      <c r="AJ29" s="157" t="n">
        <f aca="false">CASHFLOW!J147-'CF-Partnership, NNG &amp; 53K'!J29</f>
        <v>-20237</v>
      </c>
      <c r="AK29" s="157" t="n">
        <f aca="false">CASHFLOW!K147-'CF-Partnership, NNG &amp; 53K'!K29</f>
        <v>3509</v>
      </c>
      <c r="AL29" s="157" t="n">
        <f aca="false">CASHFLOW!L147-'CF-Partnership, NNG &amp; 53K'!L29</f>
        <v>1950</v>
      </c>
      <c r="AM29" s="157" t="n">
        <f aca="false">CASHFLOW!M147-'CF-Partnership, NNG &amp; 53K'!M29</f>
        <v>-3995</v>
      </c>
      <c r="AN29" s="157" t="n">
        <f aca="false">CASHFLOW!N147-'CF-Partnership, NNG &amp; 53K'!N29</f>
        <v>-5941</v>
      </c>
      <c r="AO29" s="157" t="n">
        <f aca="false">CASHFLOW!O147-'CF-Partnership, NNG &amp; 53K'!O29</f>
        <v>-1131</v>
      </c>
      <c r="AP29" s="130" t="n">
        <f aca="false">SUM(AD29:AO29)</f>
        <v>-49213</v>
      </c>
      <c r="AQ29" s="131" t="n">
        <f aca="false">SUM(AD29:AJ29)</f>
        <v>-43605</v>
      </c>
      <c r="AR29" s="130" t="n">
        <f aca="false">AP29-AQ29</f>
        <v>-5608</v>
      </c>
      <c r="AS29" s="130"/>
      <c r="AT29" s="210" t="n">
        <v>0</v>
      </c>
      <c r="AU29" s="210" t="n">
        <v>0</v>
      </c>
      <c r="AV29" s="157" t="n">
        <f aca="false">AT29-AU29</f>
        <v>0</v>
      </c>
    </row>
    <row r="30" customFormat="false" ht="12.75" hidden="false" customHeight="true" outlineLevel="0" collapsed="false">
      <c r="A30" s="202" t="str">
        <f aca="false">CASHFLOW!A148</f>
        <v>      Over / (Under) Recovered Gas Cost</v>
      </c>
      <c r="B30" s="103"/>
      <c r="C30" s="103"/>
      <c r="D30" s="210" t="n">
        <v>0</v>
      </c>
      <c r="E30" s="210" t="n">
        <v>0</v>
      </c>
      <c r="F30" s="210" t="n">
        <v>0</v>
      </c>
      <c r="G30" s="210" t="n">
        <v>0</v>
      </c>
      <c r="H30" s="210" t="n">
        <v>0</v>
      </c>
      <c r="I30" s="210" t="n">
        <v>0</v>
      </c>
      <c r="J30" s="210" t="n">
        <v>0</v>
      </c>
      <c r="K30" s="210" t="n">
        <v>0</v>
      </c>
      <c r="L30" s="210" t="n">
        <v>0</v>
      </c>
      <c r="M30" s="210" t="n">
        <v>0</v>
      </c>
      <c r="N30" s="210" t="n">
        <v>0</v>
      </c>
      <c r="O30" s="210" t="n">
        <v>0</v>
      </c>
      <c r="P30" s="130" t="n">
        <f aca="false">SUM(D30:O30)</f>
        <v>0</v>
      </c>
      <c r="Q30" s="131" t="n">
        <f aca="false">SUM(D30:J30)</f>
        <v>0</v>
      </c>
      <c r="R30" s="130" t="n">
        <f aca="false">P30-Q30</f>
        <v>0</v>
      </c>
      <c r="S30" s="130"/>
      <c r="T30" s="210" t="n">
        <v>0</v>
      </c>
      <c r="U30" s="210" t="n">
        <v>0</v>
      </c>
      <c r="V30" s="157" t="n">
        <f aca="false">T30-U30</f>
        <v>0</v>
      </c>
      <c r="W30" s="103"/>
      <c r="X30" s="103"/>
      <c r="Y30" s="103"/>
      <c r="Z30" s="103"/>
      <c r="AA30" s="103" t="str">
        <f aca="false">A30</f>
        <v>      Over / (Under) Recovered Gas Cost</v>
      </c>
      <c r="AB30" s="103"/>
      <c r="AC30" s="103"/>
      <c r="AD30" s="157" t="n">
        <f aca="false">CASHFLOW!D148-'CF-Partnership, NNG &amp; 53K'!D30</f>
        <v>0</v>
      </c>
      <c r="AE30" s="157" t="n">
        <f aca="false">CASHFLOW!E148-'CF-Partnership, NNG &amp; 53K'!E30</f>
        <v>0</v>
      </c>
      <c r="AF30" s="157" t="n">
        <f aca="false">CASHFLOW!F148-'CF-Partnership, NNG &amp; 53K'!F30</f>
        <v>0</v>
      </c>
      <c r="AG30" s="157" t="n">
        <f aca="false">CASHFLOW!G148-'CF-Partnership, NNG &amp; 53K'!G30</f>
        <v>0</v>
      </c>
      <c r="AH30" s="157" t="n">
        <f aca="false">CASHFLOW!H148-'CF-Partnership, NNG &amp; 53K'!H30</f>
        <v>0</v>
      </c>
      <c r="AI30" s="157" t="n">
        <f aca="false">CASHFLOW!I148-'CF-Partnership, NNG &amp; 53K'!I30</f>
        <v>0</v>
      </c>
      <c r="AJ30" s="157" t="n">
        <f aca="false">CASHFLOW!J148-'CF-Partnership, NNG &amp; 53K'!J30</f>
        <v>0</v>
      </c>
      <c r="AK30" s="157" t="n">
        <f aca="false">CASHFLOW!K148-'CF-Partnership, NNG &amp; 53K'!K30</f>
        <v>0</v>
      </c>
      <c r="AL30" s="157" t="n">
        <f aca="false">CASHFLOW!L148-'CF-Partnership, NNG &amp; 53K'!L30</f>
        <v>0</v>
      </c>
      <c r="AM30" s="157" t="n">
        <f aca="false">CASHFLOW!M148-'CF-Partnership, NNG &amp; 53K'!M30</f>
        <v>0</v>
      </c>
      <c r="AN30" s="157" t="n">
        <f aca="false">CASHFLOW!N148-'CF-Partnership, NNG &amp; 53K'!N30</f>
        <v>0</v>
      </c>
      <c r="AO30" s="157" t="n">
        <f aca="false">CASHFLOW!O148-'CF-Partnership, NNG &amp; 53K'!O30</f>
        <v>0</v>
      </c>
      <c r="AP30" s="130" t="n">
        <f aca="false">SUM(AD30:AO30)</f>
        <v>0</v>
      </c>
      <c r="AQ30" s="131" t="n">
        <f aca="false">SUM(AD30:AJ30)</f>
        <v>0</v>
      </c>
      <c r="AR30" s="130" t="n">
        <f aca="false">AP30-AQ30</f>
        <v>0</v>
      </c>
      <c r="AS30" s="130"/>
      <c r="AT30" s="210" t="n">
        <v>0</v>
      </c>
      <c r="AU30" s="210" t="n">
        <v>0</v>
      </c>
      <c r="AV30" s="157" t="n">
        <f aca="false">AT30-AU30</f>
        <v>0</v>
      </c>
    </row>
    <row r="31" customFormat="false" ht="12.75" hidden="false" customHeight="true" outlineLevel="0" collapsed="false">
      <c r="A31" s="202" t="str">
        <f aca="false">CASHFLOW!A149</f>
        <v>      Accrued Interest - Third Party</v>
      </c>
      <c r="B31" s="103"/>
      <c r="C31" s="103"/>
      <c r="D31" s="210" t="n">
        <v>0</v>
      </c>
      <c r="E31" s="210" t="n">
        <v>0</v>
      </c>
      <c r="F31" s="210" t="n">
        <v>0</v>
      </c>
      <c r="G31" s="210" t="n">
        <v>0</v>
      </c>
      <c r="H31" s="210" t="n">
        <v>0</v>
      </c>
      <c r="I31" s="210" t="n">
        <v>0</v>
      </c>
      <c r="J31" s="210" t="n">
        <v>0</v>
      </c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130" t="n">
        <f aca="false">SUM(D31:O31)</f>
        <v>0</v>
      </c>
      <c r="Q31" s="131" t="n">
        <f aca="false">SUM(D31:J31)</f>
        <v>0</v>
      </c>
      <c r="R31" s="130" t="n">
        <f aca="false">P31-Q31</f>
        <v>0</v>
      </c>
      <c r="S31" s="130"/>
      <c r="T31" s="210" t="n">
        <v>0</v>
      </c>
      <c r="U31" s="210" t="n">
        <v>0</v>
      </c>
      <c r="V31" s="157" t="n">
        <f aca="false">T31-U31</f>
        <v>0</v>
      </c>
      <c r="W31" s="103"/>
      <c r="X31" s="103"/>
      <c r="Y31" s="103"/>
      <c r="Z31" s="103"/>
      <c r="AA31" s="103" t="str">
        <f aca="false">A31</f>
        <v>      Accrued Interest - Third Party</v>
      </c>
      <c r="AB31" s="103"/>
      <c r="AC31" s="103"/>
      <c r="AD31" s="157" t="n">
        <f aca="false">CASHFLOW!D149-'CF-Partnership, NNG &amp; 53K'!D31</f>
        <v>2875</v>
      </c>
      <c r="AE31" s="157" t="n">
        <f aca="false">CASHFLOW!E149-'CF-Partnership, NNG &amp; 53K'!E31</f>
        <v>2875</v>
      </c>
      <c r="AF31" s="157" t="n">
        <f aca="false">CASHFLOW!F149-'CF-Partnership, NNG &amp; 53K'!F31</f>
        <v>-2187</v>
      </c>
      <c r="AG31" s="157" t="n">
        <f aca="false">CASHFLOW!G149-'CF-Partnership, NNG &amp; 53K'!G31</f>
        <v>2875</v>
      </c>
      <c r="AH31" s="157" t="n">
        <f aca="false">CASHFLOW!H149-'CF-Partnership, NNG &amp; 53K'!H31</f>
        <v>-563</v>
      </c>
      <c r="AI31" s="157" t="n">
        <f aca="false">CASHFLOW!I149-'CF-Partnership, NNG &amp; 53K'!I31</f>
        <v>-5875</v>
      </c>
      <c r="AJ31" s="157" t="n">
        <f aca="false">CASHFLOW!J149-'CF-Partnership, NNG &amp; 53K'!J31</f>
        <v>2875</v>
      </c>
      <c r="AK31" s="157" t="n">
        <f aca="false">CASHFLOW!K149-'CF-Partnership, NNG &amp; 53K'!K31</f>
        <v>2875</v>
      </c>
      <c r="AL31" s="157" t="n">
        <f aca="false">CASHFLOW!L149-'CF-Partnership, NNG &amp; 53K'!L31</f>
        <v>-2187</v>
      </c>
      <c r="AM31" s="157" t="n">
        <f aca="false">CASHFLOW!M149-'CF-Partnership, NNG &amp; 53K'!M31</f>
        <v>2875</v>
      </c>
      <c r="AN31" s="157" t="n">
        <f aca="false">CASHFLOW!N149-'CF-Partnership, NNG &amp; 53K'!N31</f>
        <v>-563</v>
      </c>
      <c r="AO31" s="157" t="n">
        <f aca="false">CASHFLOW!O149-'CF-Partnership, NNG &amp; 53K'!O31</f>
        <v>-5875</v>
      </c>
      <c r="AP31" s="130" t="n">
        <f aca="false">SUM(AD31:AO31)</f>
        <v>0</v>
      </c>
      <c r="AQ31" s="131" t="n">
        <f aca="false">SUM(AD31:AJ31)</f>
        <v>2875</v>
      </c>
      <c r="AR31" s="130" t="n">
        <f aca="false">AP31-AQ31</f>
        <v>-2875</v>
      </c>
      <c r="AS31" s="130"/>
      <c r="AT31" s="210" t="n">
        <v>0</v>
      </c>
      <c r="AU31" s="210" t="n">
        <v>0</v>
      </c>
      <c r="AV31" s="157" t="n">
        <f aca="false">AT31-AU31</f>
        <v>0</v>
      </c>
    </row>
    <row r="32" customFormat="false" ht="12.75" hidden="false" customHeight="true" outlineLevel="0" collapsed="false">
      <c r="A32" s="202" t="str">
        <f aca="false">CASHFLOW!A150</f>
        <v>      Accrued Income Taxes</v>
      </c>
      <c r="B32" s="103"/>
      <c r="C32" s="103"/>
      <c r="D32" s="130" t="n">
        <f aca="false">BALSHEET!AD63-BALSHEET!AC63+BALSHEET!AD64-BALSHEET!AC64</f>
        <v>0</v>
      </c>
      <c r="E32" s="130" t="n">
        <f aca="false">BALSHEET!AE63-BALSHEET!AD63+BALSHEET!AE64-BALSHEET!AD64</f>
        <v>0</v>
      </c>
      <c r="F32" s="130" t="n">
        <f aca="false">BALSHEET!AF63-BALSHEET!AE63+BALSHEET!AF64-BALSHEET!AE64</f>
        <v>0</v>
      </c>
      <c r="G32" s="130" t="n">
        <f aca="false">BALSHEET!AG63-BALSHEET!AF63+BALSHEET!AG64-BALSHEET!AF64</f>
        <v>0</v>
      </c>
      <c r="H32" s="130" t="n">
        <f aca="false">BALSHEET!AH63-BALSHEET!AG63+BALSHEET!AH64-BALSHEET!AG64</f>
        <v>0</v>
      </c>
      <c r="I32" s="130" t="n">
        <f aca="false">BALSHEET!AI63-BALSHEET!AH63+BALSHEET!AI64-BALSHEET!AH64</f>
        <v>0</v>
      </c>
      <c r="J32" s="130" t="n">
        <f aca="false">BALSHEET!AJ63-BALSHEET!AI63+BALSHEET!AJ64-BALSHEET!AI64</f>
        <v>0</v>
      </c>
      <c r="K32" s="130" t="n">
        <f aca="false">BALSHEET!AK63-BALSHEET!AJ63+BALSHEET!AK64-BALSHEET!AJ64</f>
        <v>0</v>
      </c>
      <c r="L32" s="130" t="n">
        <f aca="false">BALSHEET!AL63-BALSHEET!AK63+BALSHEET!AL64-BALSHEET!AK64</f>
        <v>0</v>
      </c>
      <c r="M32" s="130" t="n">
        <f aca="false">BALSHEET!AM63-BALSHEET!AL63+BALSHEET!AM64-BALSHEET!AL64</f>
        <v>0</v>
      </c>
      <c r="N32" s="130" t="n">
        <f aca="false">BALSHEET!AN63-BALSHEET!AM63+BALSHEET!AN64-BALSHEET!AM64</f>
        <v>0</v>
      </c>
      <c r="O32" s="130" t="n">
        <f aca="false">BALSHEET!AO63-BALSHEET!AN63+BALSHEET!AO64-BALSHEET!AN64</f>
        <v>0</v>
      </c>
      <c r="P32" s="130" t="n">
        <f aca="false">SUM(D32:O32)</f>
        <v>0</v>
      </c>
      <c r="Q32" s="131" t="n">
        <f aca="false">SUM(D32:J32)</f>
        <v>0</v>
      </c>
      <c r="R32" s="130" t="n">
        <f aca="false">P32-Q32</f>
        <v>0</v>
      </c>
      <c r="S32" s="130"/>
      <c r="T32" s="131" t="n">
        <v>0</v>
      </c>
      <c r="U32" s="131" t="n">
        <v>0</v>
      </c>
      <c r="V32" s="130" t="n">
        <f aca="false">T32-U32</f>
        <v>0</v>
      </c>
      <c r="W32" s="103"/>
      <c r="X32" s="103"/>
      <c r="Y32" s="103"/>
      <c r="Z32" s="103"/>
      <c r="AA32" s="103" t="str">
        <f aca="false">A32</f>
        <v>      Accrued Income Taxes</v>
      </c>
      <c r="AB32" s="103"/>
      <c r="AC32" s="103"/>
      <c r="AD32" s="157" t="n">
        <f aca="false">CASHFLOW!D150-'CF-Partnership, NNG &amp; 53K'!D32</f>
        <v>0</v>
      </c>
      <c r="AE32" s="157" t="n">
        <f aca="false">CASHFLOW!E150-'CF-Partnership, NNG &amp; 53K'!E32</f>
        <v>0</v>
      </c>
      <c r="AF32" s="157" t="n">
        <f aca="false">CASHFLOW!F150-'CF-Partnership, NNG &amp; 53K'!F32</f>
        <v>0</v>
      </c>
      <c r="AG32" s="157" t="n">
        <f aca="false">CASHFLOW!G150-'CF-Partnership, NNG &amp; 53K'!G32</f>
        <v>0</v>
      </c>
      <c r="AH32" s="157" t="n">
        <f aca="false">CASHFLOW!H150-'CF-Partnership, NNG &amp; 53K'!H32</f>
        <v>0</v>
      </c>
      <c r="AI32" s="157" t="n">
        <f aca="false">CASHFLOW!I150-'CF-Partnership, NNG &amp; 53K'!I32</f>
        <v>0</v>
      </c>
      <c r="AJ32" s="157" t="n">
        <f aca="false">CASHFLOW!J150-'CF-Partnership, NNG &amp; 53K'!J32</f>
        <v>0</v>
      </c>
      <c r="AK32" s="157" t="n">
        <f aca="false">CASHFLOW!K150-'CF-Partnership, NNG &amp; 53K'!K32</f>
        <v>0</v>
      </c>
      <c r="AL32" s="157" t="n">
        <f aca="false">CASHFLOW!L150-'CF-Partnership, NNG &amp; 53K'!L32</f>
        <v>0</v>
      </c>
      <c r="AM32" s="157" t="n">
        <f aca="false">CASHFLOW!M150-'CF-Partnership, NNG &amp; 53K'!M32</f>
        <v>0</v>
      </c>
      <c r="AN32" s="157" t="n">
        <f aca="false">CASHFLOW!N150-'CF-Partnership, NNG &amp; 53K'!N32</f>
        <v>0</v>
      </c>
      <c r="AO32" s="157" t="n">
        <f aca="false">CASHFLOW!O150-'CF-Partnership, NNG &amp; 53K'!O32</f>
        <v>0</v>
      </c>
      <c r="AP32" s="130" t="n">
        <f aca="false">SUM(AD32:AO32)</f>
        <v>0</v>
      </c>
      <c r="AQ32" s="131" t="n">
        <f aca="false">SUM(AD32:AJ32)</f>
        <v>0</v>
      </c>
      <c r="AR32" s="130" t="n">
        <f aca="false">AP32-AQ32</f>
        <v>0</v>
      </c>
      <c r="AS32" s="130"/>
      <c r="AT32" s="131" t="n">
        <v>0</v>
      </c>
      <c r="AU32" s="131" t="n">
        <v>0</v>
      </c>
      <c r="AV32" s="130" t="n">
        <f aca="false">AT32-AU32</f>
        <v>0</v>
      </c>
    </row>
    <row r="33" customFormat="false" ht="12.75" hidden="false" customHeight="true" outlineLevel="0" collapsed="false">
      <c r="A33" s="202" t="str">
        <f aca="false">CASHFLOW!A151</f>
        <v>      Accrued Taxes, other than income</v>
      </c>
      <c r="B33" s="103"/>
      <c r="C33" s="103"/>
      <c r="D33" s="210" t="n">
        <v>0</v>
      </c>
      <c r="E33" s="210" t="n">
        <v>0</v>
      </c>
      <c r="F33" s="210" t="n">
        <v>0</v>
      </c>
      <c r="G33" s="210" t="n">
        <v>0</v>
      </c>
      <c r="H33" s="210" t="n">
        <v>0</v>
      </c>
      <c r="I33" s="210" t="n">
        <v>0</v>
      </c>
      <c r="J33" s="210" t="n">
        <v>0</v>
      </c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130" t="n">
        <f aca="false">SUM(D33:O33)</f>
        <v>0</v>
      </c>
      <c r="Q33" s="131" t="n">
        <f aca="false">SUM(D33:J33)</f>
        <v>0</v>
      </c>
      <c r="R33" s="130" t="n">
        <f aca="false">P33-Q33</f>
        <v>0</v>
      </c>
      <c r="S33" s="130"/>
      <c r="T33" s="131" t="n">
        <v>0</v>
      </c>
      <c r="U33" s="131" t="n">
        <v>0</v>
      </c>
      <c r="V33" s="130" t="n">
        <f aca="false">T33-U33</f>
        <v>0</v>
      </c>
      <c r="W33" s="103"/>
      <c r="X33" s="103"/>
      <c r="Y33" s="103"/>
      <c r="Z33" s="103"/>
      <c r="AA33" s="103" t="str">
        <f aca="false">A33</f>
        <v>      Accrued Taxes, other than income</v>
      </c>
      <c r="AB33" s="103"/>
      <c r="AC33" s="103"/>
      <c r="AD33" s="157" t="n">
        <f aca="false">CASHFLOW!D151-'CF-Partnership, NNG &amp; 53K'!D33</f>
        <v>-896</v>
      </c>
      <c r="AE33" s="157" t="n">
        <f aca="false">CASHFLOW!E151-'CF-Partnership, NNG &amp; 53K'!E33</f>
        <v>4102</v>
      </c>
      <c r="AF33" s="157" t="n">
        <f aca="false">CASHFLOW!F151-'CF-Partnership, NNG &amp; 53K'!F33</f>
        <v>-1420</v>
      </c>
      <c r="AG33" s="157" t="n">
        <f aca="false">CASHFLOW!G151-'CF-Partnership, NNG &amp; 53K'!G33</f>
        <v>1757</v>
      </c>
      <c r="AH33" s="157" t="n">
        <f aca="false">CASHFLOW!H151-'CF-Partnership, NNG &amp; 53K'!H33</f>
        <v>-3621</v>
      </c>
      <c r="AI33" s="157" t="n">
        <f aca="false">CASHFLOW!I151-'CF-Partnership, NNG &amp; 53K'!I33</f>
        <v>-1874</v>
      </c>
      <c r="AJ33" s="157" t="n">
        <f aca="false">CASHFLOW!J151-'CF-Partnership, NNG &amp; 53K'!J33</f>
        <v>2393</v>
      </c>
      <c r="AK33" s="157" t="n">
        <f aca="false">CASHFLOW!K151-'CF-Partnership, NNG &amp; 53K'!K33</f>
        <v>1781</v>
      </c>
      <c r="AL33" s="157" t="n">
        <f aca="false">CASHFLOW!L151-'CF-Partnership, NNG &amp; 53K'!L33</f>
        <v>-558</v>
      </c>
      <c r="AM33" s="157" t="n">
        <f aca="false">CASHFLOW!M151-'CF-Partnership, NNG &amp; 53K'!M33</f>
        <v>234</v>
      </c>
      <c r="AN33" s="157" t="n">
        <f aca="false">CASHFLOW!N151-'CF-Partnership, NNG &amp; 53K'!N33</f>
        <v>1884</v>
      </c>
      <c r="AO33" s="157" t="n">
        <f aca="false">CASHFLOW!O151-'CF-Partnership, NNG &amp; 53K'!O33</f>
        <v>-2829</v>
      </c>
      <c r="AP33" s="130" t="n">
        <f aca="false">SUM(AD33:AO33)</f>
        <v>953</v>
      </c>
      <c r="AQ33" s="131" t="n">
        <f aca="false">SUM(AD33:AJ33)</f>
        <v>441</v>
      </c>
      <c r="AR33" s="130" t="n">
        <f aca="false">AP33-AQ33</f>
        <v>512</v>
      </c>
      <c r="AS33" s="130"/>
      <c r="AT33" s="131" t="n">
        <v>0</v>
      </c>
      <c r="AU33" s="131" t="n">
        <v>0</v>
      </c>
      <c r="AV33" s="130" t="n">
        <f aca="false">AT33-AU33</f>
        <v>0</v>
      </c>
    </row>
    <row r="34" customFormat="false" ht="12.75" hidden="false" customHeight="true" outlineLevel="0" collapsed="false">
      <c r="A34" s="202" t="str">
        <f aca="false">CASHFLOW!A152</f>
        <v>      Tax Refunds / Payments</v>
      </c>
      <c r="B34" s="103"/>
      <c r="C34" s="103"/>
      <c r="D34" s="210" t="n">
        <v>0</v>
      </c>
      <c r="E34" s="210" t="n">
        <v>0</v>
      </c>
      <c r="F34" s="210" t="n">
        <v>0</v>
      </c>
      <c r="G34" s="210" t="n">
        <v>0</v>
      </c>
      <c r="H34" s="210" t="n">
        <v>0</v>
      </c>
      <c r="I34" s="210" t="n">
        <v>0</v>
      </c>
      <c r="J34" s="210" t="n">
        <v>0</v>
      </c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130" t="n">
        <f aca="false">SUM(D34:O34)</f>
        <v>0</v>
      </c>
      <c r="Q34" s="131" t="n">
        <f aca="false">SUM(D34:J34)</f>
        <v>0</v>
      </c>
      <c r="R34" s="130" t="n">
        <f aca="false">P34-Q34</f>
        <v>0</v>
      </c>
      <c r="S34" s="130"/>
      <c r="T34" s="131" t="n">
        <v>0</v>
      </c>
      <c r="U34" s="131" t="n">
        <v>0</v>
      </c>
      <c r="V34" s="130" t="n">
        <f aca="false">T34-U34</f>
        <v>0</v>
      </c>
      <c r="W34" s="103"/>
      <c r="X34" s="103"/>
      <c r="Y34" s="103"/>
      <c r="Z34" s="103"/>
      <c r="AA34" s="103" t="str">
        <f aca="false">A34</f>
        <v>      Tax Refunds / Payments</v>
      </c>
      <c r="AB34" s="103"/>
      <c r="AC34" s="103"/>
      <c r="AD34" s="157" t="n">
        <f aca="false">CASHFLOW!D152-'CF-Partnership, NNG &amp; 53K'!D34</f>
        <v>0</v>
      </c>
      <c r="AE34" s="157" t="n">
        <f aca="false">CASHFLOW!E152-'CF-Partnership, NNG &amp; 53K'!E34</f>
        <v>0</v>
      </c>
      <c r="AF34" s="157" t="n">
        <f aca="false">CASHFLOW!F152-'CF-Partnership, NNG &amp; 53K'!F34</f>
        <v>0</v>
      </c>
      <c r="AG34" s="157" t="n">
        <f aca="false">CASHFLOW!G152-'CF-Partnership, NNG &amp; 53K'!G34</f>
        <v>0</v>
      </c>
      <c r="AH34" s="157" t="n">
        <f aca="false">CASHFLOW!H152-'CF-Partnership, NNG &amp; 53K'!H34</f>
        <v>0</v>
      </c>
      <c r="AI34" s="157" t="n">
        <f aca="false">CASHFLOW!I152-'CF-Partnership, NNG &amp; 53K'!I34</f>
        <v>0</v>
      </c>
      <c r="AJ34" s="157" t="n">
        <f aca="false">CASHFLOW!J152-'CF-Partnership, NNG &amp; 53K'!J34</f>
        <v>0</v>
      </c>
      <c r="AK34" s="157" t="n">
        <f aca="false">CASHFLOW!K152-'CF-Partnership, NNG &amp; 53K'!K34</f>
        <v>0</v>
      </c>
      <c r="AL34" s="157" t="n">
        <f aca="false">CASHFLOW!L152-'CF-Partnership, NNG &amp; 53K'!L34</f>
        <v>0</v>
      </c>
      <c r="AM34" s="157" t="n">
        <f aca="false">CASHFLOW!M152-'CF-Partnership, NNG &amp; 53K'!M34</f>
        <v>0</v>
      </c>
      <c r="AN34" s="157" t="n">
        <f aca="false">CASHFLOW!N152-'CF-Partnership, NNG &amp; 53K'!N34</f>
        <v>0</v>
      </c>
      <c r="AO34" s="157" t="n">
        <f aca="false">CASHFLOW!O152-'CF-Partnership, NNG &amp; 53K'!O34</f>
        <v>0</v>
      </c>
      <c r="AP34" s="130" t="n">
        <f aca="false">SUM(AD34:AO34)</f>
        <v>0</v>
      </c>
      <c r="AQ34" s="131" t="n">
        <f aca="false">SUM(AD34:AJ34)</f>
        <v>0</v>
      </c>
      <c r="AR34" s="130" t="n">
        <f aca="false">AP34-AQ34</f>
        <v>0</v>
      </c>
      <c r="AS34" s="130"/>
      <c r="AT34" s="131" t="n">
        <v>0</v>
      </c>
      <c r="AU34" s="131" t="n">
        <v>0</v>
      </c>
      <c r="AV34" s="130" t="n">
        <f aca="false">AT34-AU34</f>
        <v>0</v>
      </c>
    </row>
    <row r="35" customFormat="false" ht="12.75" hidden="false" customHeight="true" outlineLevel="0" collapsed="false">
      <c r="A35" s="202" t="str">
        <f aca="false">CASHFLOW!A153</f>
        <v>      Other (Including Inventory and Prepayments)</v>
      </c>
      <c r="B35" s="103"/>
      <c r="C35" s="103"/>
      <c r="D35" s="211" t="n">
        <v>0</v>
      </c>
      <c r="E35" s="211" t="n">
        <v>0</v>
      </c>
      <c r="F35" s="211" t="n">
        <v>0</v>
      </c>
      <c r="G35" s="211" t="n">
        <v>0</v>
      </c>
      <c r="H35" s="211" t="n">
        <v>0</v>
      </c>
      <c r="I35" s="211" t="n">
        <v>0</v>
      </c>
      <c r="J35" s="211" t="n">
        <v>0</v>
      </c>
      <c r="K35" s="211" t="n">
        <v>0</v>
      </c>
      <c r="L35" s="211" t="n">
        <v>0</v>
      </c>
      <c r="M35" s="211" t="n">
        <v>0</v>
      </c>
      <c r="N35" s="211" t="n">
        <v>0</v>
      </c>
      <c r="O35" s="211" t="n">
        <v>0</v>
      </c>
      <c r="P35" s="143" t="n">
        <f aca="false">SUM(D35:O35)</f>
        <v>0</v>
      </c>
      <c r="Q35" s="140" t="n">
        <f aca="false">SUM(D35:J35)</f>
        <v>0</v>
      </c>
      <c r="R35" s="143" t="n">
        <f aca="false">P35-Q35</f>
        <v>0</v>
      </c>
      <c r="S35" s="143"/>
      <c r="T35" s="211" t="n">
        <v>0</v>
      </c>
      <c r="U35" s="211" t="n">
        <v>0</v>
      </c>
      <c r="V35" s="159" t="n">
        <f aca="false">T35-U35</f>
        <v>0</v>
      </c>
      <c r="W35" s="103"/>
      <c r="X35" s="103"/>
      <c r="Y35" s="103"/>
      <c r="Z35" s="103"/>
      <c r="AA35" s="103" t="str">
        <f aca="false">A35</f>
        <v>      Other (Including Inventory and Prepayments)</v>
      </c>
      <c r="AB35" s="103"/>
      <c r="AC35" s="103"/>
      <c r="AD35" s="159" t="n">
        <f aca="false">CASHFLOW!D153-'CF-Partnership, NNG &amp; 53K'!D35</f>
        <v>4103</v>
      </c>
      <c r="AE35" s="159" t="n">
        <f aca="false">CASHFLOW!E153-'CF-Partnership, NNG &amp; 53K'!E35</f>
        <v>-11219</v>
      </c>
      <c r="AF35" s="159" t="n">
        <f aca="false">CASHFLOW!F153-'CF-Partnership, NNG &amp; 53K'!F35</f>
        <v>6362</v>
      </c>
      <c r="AG35" s="159" t="n">
        <f aca="false">CASHFLOW!G153-'CF-Partnership, NNG &amp; 53K'!G35</f>
        <v>-1327</v>
      </c>
      <c r="AH35" s="159" t="n">
        <f aca="false">CASHFLOW!H153-'CF-Partnership, NNG &amp; 53K'!H35</f>
        <v>-2413</v>
      </c>
      <c r="AI35" s="159" t="n">
        <f aca="false">CASHFLOW!I153-'CF-Partnership, NNG &amp; 53K'!I35</f>
        <v>926</v>
      </c>
      <c r="AJ35" s="159" t="n">
        <f aca="false">CASHFLOW!J153-'CF-Partnership, NNG &amp; 53K'!J35</f>
        <v>-2671</v>
      </c>
      <c r="AK35" s="159" t="n">
        <f aca="false">CASHFLOW!K153-'CF-Partnership, NNG &amp; 53K'!K35</f>
        <v>485</v>
      </c>
      <c r="AL35" s="159" t="n">
        <f aca="false">CASHFLOW!L153-'CF-Partnership, NNG &amp; 53K'!L35</f>
        <v>-2382</v>
      </c>
      <c r="AM35" s="159" t="n">
        <f aca="false">CASHFLOW!M153-'CF-Partnership, NNG &amp; 53K'!M35</f>
        <v>596</v>
      </c>
      <c r="AN35" s="159" t="n">
        <f aca="false">CASHFLOW!N153-'CF-Partnership, NNG &amp; 53K'!N35</f>
        <v>1096</v>
      </c>
      <c r="AO35" s="159" t="n">
        <f aca="false">CASHFLOW!O153-'CF-Partnership, NNG &amp; 53K'!O35</f>
        <v>-10733</v>
      </c>
      <c r="AP35" s="143" t="n">
        <f aca="false">SUM(AD35:AO35)</f>
        <v>-17177</v>
      </c>
      <c r="AQ35" s="140" t="n">
        <f aca="false">SUM(AD35:AJ35)</f>
        <v>-6239</v>
      </c>
      <c r="AR35" s="143" t="n">
        <f aca="false">AP35-AQ35</f>
        <v>-10938</v>
      </c>
      <c r="AS35" s="143"/>
      <c r="AT35" s="211" t="n">
        <v>0</v>
      </c>
      <c r="AU35" s="211" t="n">
        <v>0</v>
      </c>
      <c r="AV35" s="159" t="n">
        <f aca="false">AT35-AU35</f>
        <v>0</v>
      </c>
    </row>
    <row r="36" customFormat="false" ht="3.95" hidden="false" customHeight="true" outlineLevel="0" collapsed="false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</row>
    <row r="37" customFormat="false" ht="12.75" hidden="false" customHeight="true" outlineLevel="0" collapsed="false">
      <c r="A37" s="202" t="str">
        <f aca="false">CASHFLOW!A155</f>
        <v>            Total Working Capital Changes</v>
      </c>
      <c r="B37" s="103"/>
      <c r="C37" s="103"/>
      <c r="D37" s="159" t="n">
        <f aca="false">SUM(D28:D35)</f>
        <v>0</v>
      </c>
      <c r="E37" s="159" t="n">
        <f aca="false">SUM(E28:E35)</f>
        <v>0</v>
      </c>
      <c r="F37" s="159" t="n">
        <f aca="false">SUM(F28:F35)</f>
        <v>0</v>
      </c>
      <c r="G37" s="159" t="n">
        <f aca="false">SUM(G28:G35)</f>
        <v>0</v>
      </c>
      <c r="H37" s="159" t="n">
        <f aca="false">SUM(H28:H35)</f>
        <v>0</v>
      </c>
      <c r="I37" s="159" t="n">
        <f aca="false">SUM(I28:I35)</f>
        <v>0</v>
      </c>
      <c r="J37" s="159" t="n">
        <f aca="false">SUM(J28:J35)</f>
        <v>0</v>
      </c>
      <c r="K37" s="159" t="n">
        <f aca="false">SUM(K28:K35)</f>
        <v>0</v>
      </c>
      <c r="L37" s="159" t="n">
        <f aca="false">SUM(L28:L35)</f>
        <v>0</v>
      </c>
      <c r="M37" s="159" t="n">
        <f aca="false">SUM(M28:M35)</f>
        <v>0</v>
      </c>
      <c r="N37" s="159" t="n">
        <f aca="false">SUM(N28:N35)</f>
        <v>0</v>
      </c>
      <c r="O37" s="159" t="n">
        <f aca="false">SUM(O28:O35)</f>
        <v>0</v>
      </c>
      <c r="P37" s="159" t="n">
        <f aca="false">SUM(P28:P35)</f>
        <v>0</v>
      </c>
      <c r="Q37" s="159" t="n">
        <f aca="false">SUM(Q28:Q35)</f>
        <v>0</v>
      </c>
      <c r="R37" s="159" t="n">
        <f aca="false">SUM(R28:R35)</f>
        <v>0</v>
      </c>
      <c r="S37" s="159"/>
      <c r="T37" s="159" t="n">
        <f aca="false">SUM(T28:T35)</f>
        <v>0</v>
      </c>
      <c r="U37" s="159" t="n">
        <f aca="false">SUM(U28:U35)</f>
        <v>0</v>
      </c>
      <c r="V37" s="159" t="n">
        <f aca="false">SUM(V28:V35)</f>
        <v>0</v>
      </c>
      <c r="W37" s="103"/>
      <c r="X37" s="103"/>
      <c r="Y37" s="103"/>
      <c r="Z37" s="103"/>
      <c r="AA37" s="103" t="str">
        <f aca="false">A37</f>
        <v>            Total Working Capital Changes</v>
      </c>
      <c r="AB37" s="103"/>
      <c r="AC37" s="103"/>
      <c r="AD37" s="159" t="n">
        <f aca="false">SUM(AD28:AD35)</f>
        <v>52965</v>
      </c>
      <c r="AE37" s="159" t="n">
        <f aca="false">SUM(AE28:AE35)</f>
        <v>-44067</v>
      </c>
      <c r="AF37" s="159" t="n">
        <f aca="false">SUM(AF28:AF35)</f>
        <v>-6731</v>
      </c>
      <c r="AG37" s="159" t="n">
        <f aca="false">SUM(AG28:AG35)</f>
        <v>12272</v>
      </c>
      <c r="AH37" s="159" t="n">
        <f aca="false">SUM(AH28:AH35)</f>
        <v>218</v>
      </c>
      <c r="AI37" s="159" t="n">
        <f aca="false">SUM(AI28:AI35)</f>
        <v>-17032</v>
      </c>
      <c r="AJ37" s="159" t="n">
        <f aca="false">SUM(AJ28:AJ35)</f>
        <v>5381</v>
      </c>
      <c r="AK37" s="159" t="n">
        <f aca="false">SUM(AK28:AK35)</f>
        <v>8364</v>
      </c>
      <c r="AL37" s="159" t="n">
        <f aca="false">SUM(AL28:AL35)</f>
        <v>-1428</v>
      </c>
      <c r="AM37" s="159" t="n">
        <f aca="false">SUM(AM28:AM35)</f>
        <v>329</v>
      </c>
      <c r="AN37" s="159" t="n">
        <f aca="false">SUM(AN28:AN35)</f>
        <v>-32511</v>
      </c>
      <c r="AO37" s="159" t="n">
        <f aca="false">SUM(AO28:AO35)</f>
        <v>-21766</v>
      </c>
      <c r="AP37" s="159" t="n">
        <f aca="false">SUM(AP28:AP35)</f>
        <v>-44006</v>
      </c>
      <c r="AQ37" s="159" t="n">
        <f aca="false">SUM(AQ28:AQ35)</f>
        <v>3006</v>
      </c>
      <c r="AR37" s="159" t="n">
        <f aca="false">SUM(AR28:AR35)</f>
        <v>-47012</v>
      </c>
      <c r="AS37" s="159"/>
      <c r="AT37" s="159" t="n">
        <f aca="false">SUM(AT28:AT35)</f>
        <v>0</v>
      </c>
      <c r="AU37" s="159" t="n">
        <f aca="false">SUM(AU28:AU35)</f>
        <v>0</v>
      </c>
      <c r="AV37" s="159" t="n">
        <f aca="false">SUM(AV28:AV35)</f>
        <v>0</v>
      </c>
    </row>
    <row r="38" customFormat="false" ht="6" hidden="false" customHeight="true" outlineLevel="0" collapsed="false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</row>
    <row r="39" customFormat="false" ht="12.75" hidden="false" customHeight="true" outlineLevel="0" collapsed="false">
      <c r="A39" s="202" t="str">
        <f aca="false">CASHFLOW!A157</f>
        <v>TOTAL CASH FLOW FROM OPERATING ACTIVITIES</v>
      </c>
      <c r="B39" s="103"/>
      <c r="C39" s="103"/>
      <c r="D39" s="157" t="n">
        <f aca="false">D25+D37</f>
        <v>-268</v>
      </c>
      <c r="E39" s="157" t="n">
        <f aca="false">E25+E37</f>
        <v>-199</v>
      </c>
      <c r="F39" s="157" t="n">
        <f aca="false">F25+F37</f>
        <v>605</v>
      </c>
      <c r="G39" s="157" t="n">
        <f aca="false">G25+G37</f>
        <v>-534</v>
      </c>
      <c r="H39" s="157" t="n">
        <f aca="false">H25+H37</f>
        <v>-195</v>
      </c>
      <c r="I39" s="157" t="n">
        <f aca="false">I25+I37</f>
        <v>3563</v>
      </c>
      <c r="J39" s="157" t="n">
        <f aca="false">J25+J37</f>
        <v>-202</v>
      </c>
      <c r="K39" s="157" t="n">
        <f aca="false">K25+K37</f>
        <v>1822</v>
      </c>
      <c r="L39" s="157" t="n">
        <f aca="false">L25+L37</f>
        <v>603</v>
      </c>
      <c r="M39" s="157" t="n">
        <f aca="false">M25+M37</f>
        <v>-238</v>
      </c>
      <c r="N39" s="157" t="n">
        <f aca="false">N25+N37</f>
        <v>-252</v>
      </c>
      <c r="O39" s="157" t="n">
        <f aca="false">O25+O37</f>
        <v>798</v>
      </c>
      <c r="P39" s="157" t="n">
        <f aca="false">P25+P37</f>
        <v>5503</v>
      </c>
      <c r="Q39" s="157" t="n">
        <f aca="false">Q25+Q37</f>
        <v>2770</v>
      </c>
      <c r="R39" s="157" t="n">
        <f aca="false">R25+R37</f>
        <v>2733</v>
      </c>
      <c r="S39" s="157"/>
      <c r="T39" s="157" t="n">
        <f aca="false">T25+T37</f>
        <v>0</v>
      </c>
      <c r="U39" s="157" t="n">
        <f aca="false">U25+U37</f>
        <v>0</v>
      </c>
      <c r="V39" s="157" t="n">
        <f aca="false">V25+V37</f>
        <v>0</v>
      </c>
      <c r="W39" s="103"/>
      <c r="X39" s="103"/>
      <c r="Y39" s="103"/>
      <c r="Z39" s="103"/>
      <c r="AA39" s="103" t="str">
        <f aca="false">A39</f>
        <v>TOTAL CASH FLOW FROM OPERATING ACTIVITIES</v>
      </c>
      <c r="AB39" s="103"/>
      <c r="AC39" s="103"/>
      <c r="AD39" s="157" t="n">
        <f aca="false">AD25+AD37</f>
        <v>77723</v>
      </c>
      <c r="AE39" s="157" t="n">
        <f aca="false">AE25+AE37</f>
        <v>-18622</v>
      </c>
      <c r="AF39" s="157" t="n">
        <f aca="false">AF25+AF37</f>
        <v>10193</v>
      </c>
      <c r="AG39" s="157" t="n">
        <f aca="false">AG25+AG37</f>
        <v>42996</v>
      </c>
      <c r="AH39" s="157" t="n">
        <f aca="false">AH25+AH37</f>
        <v>10964</v>
      </c>
      <c r="AI39" s="157" t="n">
        <f aca="false">AI25+AI37</f>
        <v>-11591</v>
      </c>
      <c r="AJ39" s="157" t="n">
        <f aca="false">AJ25+AJ37</f>
        <v>14444</v>
      </c>
      <c r="AK39" s="157" t="n">
        <f aca="false">AK25+AK37</f>
        <v>18123</v>
      </c>
      <c r="AL39" s="157" t="n">
        <f aca="false">AL25+AL37</f>
        <v>5397</v>
      </c>
      <c r="AM39" s="157" t="n">
        <f aca="false">AM25+AM37</f>
        <v>-7401</v>
      </c>
      <c r="AN39" s="157" t="n">
        <f aca="false">AN25+AN37</f>
        <v>-12789</v>
      </c>
      <c r="AO39" s="157" t="n">
        <f aca="false">AO25+AO37</f>
        <v>-12828</v>
      </c>
      <c r="AP39" s="157" t="n">
        <f aca="false">AP25+AP37</f>
        <v>116609</v>
      </c>
      <c r="AQ39" s="157" t="n">
        <f aca="false">AQ25+AQ37</f>
        <v>126107</v>
      </c>
      <c r="AR39" s="157" t="n">
        <f aca="false">AR25+AR37</f>
        <v>-9498</v>
      </c>
      <c r="AS39" s="157"/>
      <c r="AT39" s="157" t="n">
        <f aca="false">AT25+AT37</f>
        <v>0</v>
      </c>
      <c r="AU39" s="157" t="n">
        <f aca="false">AU25+AU37</f>
        <v>0</v>
      </c>
      <c r="AV39" s="157" t="n">
        <f aca="false">AV25+AV37</f>
        <v>0</v>
      </c>
    </row>
    <row r="40" customFormat="false" ht="6" hidden="false" customHeight="true" outlineLevel="0" collapsed="false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</row>
    <row r="41" customFormat="false" ht="12.75" hidden="false" customHeight="true" outlineLevel="0" collapsed="false">
      <c r="A41" s="196" t="str">
        <f aca="false">CASHFLOW!A159</f>
        <v>CASH FLOW FROM INVESTING ACTIVITIES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 t="str">
        <f aca="false">A41</f>
        <v>CASH FLOW FROM INVESTING ACTIVITIES</v>
      </c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</row>
    <row r="42" customFormat="false" ht="12.75" hidden="false" customHeight="true" outlineLevel="0" collapsed="false">
      <c r="A42" s="202" t="str">
        <f aca="false">CASHFLOW!A160</f>
        <v>   Proceeds from Sale (Various)</v>
      </c>
      <c r="B42" s="103"/>
      <c r="C42" s="103"/>
      <c r="D42" s="210" t="n">
        <v>0</v>
      </c>
      <c r="E42" s="210" t="n">
        <v>0</v>
      </c>
      <c r="F42" s="210" t="n">
        <v>0</v>
      </c>
      <c r="G42" s="210" t="n">
        <v>0</v>
      </c>
      <c r="H42" s="210" t="n">
        <v>0</v>
      </c>
      <c r="I42" s="210" t="n">
        <v>0</v>
      </c>
      <c r="J42" s="210" t="n">
        <v>0</v>
      </c>
      <c r="K42" s="210" t="n">
        <v>0</v>
      </c>
      <c r="L42" s="210" t="n">
        <v>0</v>
      </c>
      <c r="M42" s="210" t="n">
        <v>0</v>
      </c>
      <c r="N42" s="210" t="n">
        <v>0</v>
      </c>
      <c r="O42" s="210" t="n">
        <v>0</v>
      </c>
      <c r="P42" s="130" t="n">
        <f aca="false">SUM(D42:O42)</f>
        <v>0</v>
      </c>
      <c r="Q42" s="131" t="n">
        <f aca="false">SUM(D42:J42)</f>
        <v>0</v>
      </c>
      <c r="R42" s="130" t="n">
        <f aca="false">P42-Q42</f>
        <v>0</v>
      </c>
      <c r="S42" s="130"/>
      <c r="T42" s="210" t="n">
        <v>0</v>
      </c>
      <c r="U42" s="210" t="n">
        <v>0</v>
      </c>
      <c r="V42" s="157" t="n">
        <f aca="false">T42-U42</f>
        <v>0</v>
      </c>
      <c r="W42" s="103"/>
      <c r="X42" s="103"/>
      <c r="Y42" s="103"/>
      <c r="Z42" s="103"/>
      <c r="AA42" s="103" t="str">
        <f aca="false">A42</f>
        <v>   Proceeds from Sale (Various)</v>
      </c>
      <c r="AB42" s="103"/>
      <c r="AC42" s="103"/>
      <c r="AD42" s="157" t="n">
        <f aca="false">CASHFLOW!D160-'CF-Partnership, NNG &amp; 53K'!D42</f>
        <v>0</v>
      </c>
      <c r="AE42" s="157" t="n">
        <f aca="false">CASHFLOW!E160-'CF-Partnership, NNG &amp; 53K'!E42</f>
        <v>0</v>
      </c>
      <c r="AF42" s="157" t="n">
        <f aca="false">CASHFLOW!F160-'CF-Partnership, NNG &amp; 53K'!F42</f>
        <v>0</v>
      </c>
      <c r="AG42" s="157" t="n">
        <f aca="false">CASHFLOW!G160-'CF-Partnership, NNG &amp; 53K'!G42</f>
        <v>0</v>
      </c>
      <c r="AH42" s="157" t="n">
        <f aca="false">CASHFLOW!H160-'CF-Partnership, NNG &amp; 53K'!H42</f>
        <v>0</v>
      </c>
      <c r="AI42" s="157" t="n">
        <f aca="false">CASHFLOW!I160-'CF-Partnership, NNG &amp; 53K'!I42</f>
        <v>3353</v>
      </c>
      <c r="AJ42" s="157" t="n">
        <f aca="false">CASHFLOW!J160-'CF-Partnership, NNG &amp; 53K'!J42</f>
        <v>0</v>
      </c>
      <c r="AK42" s="157" t="n">
        <f aca="false">CASHFLOW!K160-'CF-Partnership, NNG &amp; 53K'!K42</f>
        <v>0</v>
      </c>
      <c r="AL42" s="157" t="n">
        <f aca="false">CASHFLOW!L160-'CF-Partnership, NNG &amp; 53K'!L42</f>
        <v>0</v>
      </c>
      <c r="AM42" s="157" t="n">
        <f aca="false">CASHFLOW!M160-'CF-Partnership, NNG &amp; 53K'!M42</f>
        <v>0</v>
      </c>
      <c r="AN42" s="157" t="n">
        <f aca="false">CASHFLOW!N160-'CF-Partnership, NNG &amp; 53K'!N42</f>
        <v>0</v>
      </c>
      <c r="AO42" s="157" t="n">
        <f aca="false">CASHFLOW!O160-'CF-Partnership, NNG &amp; 53K'!O42</f>
        <v>2300</v>
      </c>
      <c r="AP42" s="130" t="n">
        <f aca="false">SUM(AD42:AO42)</f>
        <v>5653</v>
      </c>
      <c r="AQ42" s="131" t="n">
        <f aca="false">SUM(AD42:AJ42)</f>
        <v>3353</v>
      </c>
      <c r="AR42" s="130" t="n">
        <f aca="false">AP42-AQ42</f>
        <v>2300</v>
      </c>
      <c r="AS42" s="130"/>
      <c r="AT42" s="210" t="n">
        <v>0</v>
      </c>
      <c r="AU42" s="210" t="n">
        <v>0</v>
      </c>
      <c r="AV42" s="157" t="n">
        <f aca="false">AT42-AU42</f>
        <v>0</v>
      </c>
    </row>
    <row r="43" customFormat="false" ht="12.75" hidden="false" customHeight="true" outlineLevel="0" collapsed="false">
      <c r="A43" s="202" t="str">
        <f aca="false">CASHFLOW!A161</f>
        <v>   Additions to Property </v>
      </c>
      <c r="B43" s="103"/>
      <c r="C43" s="103"/>
      <c r="D43" s="210" t="n">
        <v>0</v>
      </c>
      <c r="E43" s="210" t="n">
        <v>0</v>
      </c>
      <c r="F43" s="210" t="n">
        <v>0</v>
      </c>
      <c r="G43" s="210" t="n">
        <v>0</v>
      </c>
      <c r="H43" s="210" t="n">
        <v>0</v>
      </c>
      <c r="I43" s="210" t="n">
        <v>0</v>
      </c>
      <c r="J43" s="210" t="n">
        <v>0</v>
      </c>
      <c r="K43" s="210" t="n">
        <v>0</v>
      </c>
      <c r="L43" s="210" t="n">
        <v>0</v>
      </c>
      <c r="M43" s="210" t="n">
        <v>0</v>
      </c>
      <c r="N43" s="210" t="n">
        <v>0</v>
      </c>
      <c r="O43" s="210" t="n">
        <v>0</v>
      </c>
      <c r="P43" s="130" t="n">
        <f aca="false">SUM(D43:O43)</f>
        <v>0</v>
      </c>
      <c r="Q43" s="131" t="n">
        <f aca="false">SUM(D43:J43)</f>
        <v>0</v>
      </c>
      <c r="R43" s="130" t="n">
        <f aca="false">P43-Q43</f>
        <v>0</v>
      </c>
      <c r="S43" s="130"/>
      <c r="T43" s="131" t="n">
        <v>0</v>
      </c>
      <c r="U43" s="131" t="n">
        <v>0</v>
      </c>
      <c r="V43" s="130" t="n">
        <f aca="false">T43-U43</f>
        <v>0</v>
      </c>
      <c r="W43" s="103"/>
      <c r="X43" s="103"/>
      <c r="Y43" s="103"/>
      <c r="Z43" s="103"/>
      <c r="AA43" s="103" t="str">
        <f aca="false">A43</f>
        <v>   Additions to Property </v>
      </c>
      <c r="AB43" s="103"/>
      <c r="AC43" s="103"/>
      <c r="AD43" s="157" t="n">
        <f aca="false">CASHFLOW!D161-'CF-Partnership, NNG &amp; 53K'!D43</f>
        <v>-280</v>
      </c>
      <c r="AE43" s="157" t="n">
        <f aca="false">CASHFLOW!E161-'CF-Partnership, NNG &amp; 53K'!E43</f>
        <v>861</v>
      </c>
      <c r="AF43" s="157" t="n">
        <f aca="false">CASHFLOW!F161-'CF-Partnership, NNG &amp; 53K'!F43</f>
        <v>-3798</v>
      </c>
      <c r="AG43" s="157" t="n">
        <f aca="false">CASHFLOW!G161-'CF-Partnership, NNG &amp; 53K'!G43</f>
        <v>-4249</v>
      </c>
      <c r="AH43" s="157" t="n">
        <f aca="false">CASHFLOW!H161-'CF-Partnership, NNG &amp; 53K'!H43</f>
        <v>-3725</v>
      </c>
      <c r="AI43" s="157" t="n">
        <f aca="false">CASHFLOW!I161-'CF-Partnership, NNG &amp; 53K'!I43</f>
        <v>-932</v>
      </c>
      <c r="AJ43" s="157" t="n">
        <f aca="false">CASHFLOW!J161-'CF-Partnership, NNG &amp; 53K'!J43</f>
        <v>-5769</v>
      </c>
      <c r="AK43" s="157" t="n">
        <f aca="false">CASHFLOW!K161-'CF-Partnership, NNG &amp; 53K'!K43</f>
        <v>-10518</v>
      </c>
      <c r="AL43" s="157" t="n">
        <f aca="false">CASHFLOW!L161-'CF-Partnership, NNG &amp; 53K'!L43</f>
        <v>-11400</v>
      </c>
      <c r="AM43" s="157" t="n">
        <f aca="false">CASHFLOW!M161-'CF-Partnership, NNG &amp; 53K'!M43</f>
        <v>-12961</v>
      </c>
      <c r="AN43" s="157" t="n">
        <f aca="false">CASHFLOW!N161-'CF-Partnership, NNG &amp; 53K'!N43</f>
        <v>-12959</v>
      </c>
      <c r="AO43" s="157" t="n">
        <f aca="false">CASHFLOW!O161-'CF-Partnership, NNG &amp; 53K'!O43</f>
        <v>-8570</v>
      </c>
      <c r="AP43" s="130" t="n">
        <f aca="false">SUM(AD43:AO43)</f>
        <v>-74300</v>
      </c>
      <c r="AQ43" s="131" t="n">
        <f aca="false">SUM(AD43:AJ43)</f>
        <v>-17892</v>
      </c>
      <c r="AR43" s="130" t="n">
        <f aca="false">AP43-AQ43</f>
        <v>-56408</v>
      </c>
      <c r="AS43" s="130"/>
      <c r="AT43" s="131" t="n">
        <v>0</v>
      </c>
      <c r="AU43" s="131" t="n">
        <v>0</v>
      </c>
      <c r="AV43" s="130" t="n">
        <f aca="false">AT43-AU43</f>
        <v>0</v>
      </c>
    </row>
    <row r="44" customFormat="false" ht="12.75" hidden="false" customHeight="true" outlineLevel="0" collapsed="false">
      <c r="A44" s="202" t="str">
        <f aca="false">CASHFLOW!A162</f>
        <v>   Other Capital Expenditures</v>
      </c>
      <c r="B44" s="103"/>
      <c r="C44" s="103"/>
      <c r="D44" s="210" t="n">
        <v>0</v>
      </c>
      <c r="E44" s="210" t="n">
        <v>0</v>
      </c>
      <c r="F44" s="210" t="n">
        <v>0</v>
      </c>
      <c r="G44" s="210" t="n">
        <v>0</v>
      </c>
      <c r="H44" s="210" t="n">
        <v>0</v>
      </c>
      <c r="I44" s="210" t="n">
        <v>0</v>
      </c>
      <c r="J44" s="210" t="n">
        <v>0</v>
      </c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130" t="n">
        <f aca="false">SUM(D44:O44)</f>
        <v>0</v>
      </c>
      <c r="Q44" s="131" t="n">
        <f aca="false">SUM(D44:J44)</f>
        <v>0</v>
      </c>
      <c r="R44" s="130" t="n">
        <f aca="false">P44-Q44</f>
        <v>0</v>
      </c>
      <c r="S44" s="130"/>
      <c r="T44" s="131" t="n">
        <v>0</v>
      </c>
      <c r="U44" s="131" t="n">
        <v>0</v>
      </c>
      <c r="V44" s="130" t="n">
        <f aca="false">T44-U44</f>
        <v>0</v>
      </c>
      <c r="W44" s="103"/>
      <c r="X44" s="103"/>
      <c r="Y44" s="103"/>
      <c r="Z44" s="103"/>
      <c r="AA44" s="103" t="str">
        <f aca="false">A44</f>
        <v>   Other Capital Expenditures</v>
      </c>
      <c r="AB44" s="103"/>
      <c r="AC44" s="103"/>
      <c r="AD44" s="157" t="n">
        <f aca="false">CASHFLOW!D162-'CF-Partnership, NNG &amp; 53K'!D44</f>
        <v>-45815</v>
      </c>
      <c r="AE44" s="157" t="n">
        <f aca="false">CASHFLOW!E162-'CF-Partnership, NNG &amp; 53K'!E44</f>
        <v>-11147</v>
      </c>
      <c r="AF44" s="157" t="n">
        <f aca="false">CASHFLOW!F162-'CF-Partnership, NNG &amp; 53K'!F44</f>
        <v>1541</v>
      </c>
      <c r="AG44" s="157" t="n">
        <f aca="false">CASHFLOW!G162-'CF-Partnership, NNG &amp; 53K'!G44</f>
        <v>9352</v>
      </c>
      <c r="AH44" s="157" t="n">
        <f aca="false">CASHFLOW!H162-'CF-Partnership, NNG &amp; 53K'!H44</f>
        <v>4793</v>
      </c>
      <c r="AI44" s="157" t="n">
        <f aca="false">CASHFLOW!I162-'CF-Partnership, NNG &amp; 53K'!I44</f>
        <v>4071</v>
      </c>
      <c r="AJ44" s="157" t="n">
        <f aca="false">CASHFLOW!J162-'CF-Partnership, NNG &amp; 53K'!J44</f>
        <v>3220</v>
      </c>
      <c r="AK44" s="157" t="n">
        <f aca="false">CASHFLOW!K162-'CF-Partnership, NNG &amp; 53K'!K44</f>
        <v>2022</v>
      </c>
      <c r="AL44" s="157" t="n">
        <f aca="false">CASHFLOW!L162-'CF-Partnership, NNG &amp; 53K'!L44</f>
        <v>-0</v>
      </c>
      <c r="AM44" s="157" t="n">
        <f aca="false">CASHFLOW!M162-'CF-Partnership, NNG &amp; 53K'!M44</f>
        <v>4000</v>
      </c>
      <c r="AN44" s="157" t="n">
        <f aca="false">CASHFLOW!N162-'CF-Partnership, NNG &amp; 53K'!N44</f>
        <v>4000</v>
      </c>
      <c r="AO44" s="157" t="n">
        <f aca="false">CASHFLOW!O162-'CF-Partnership, NNG &amp; 53K'!O44</f>
        <v>4000</v>
      </c>
      <c r="AP44" s="130" t="n">
        <f aca="false">SUM(AD44:AO44)</f>
        <v>-19963</v>
      </c>
      <c r="AQ44" s="131" t="n">
        <f aca="false">SUM(AD44:AJ44)</f>
        <v>-33985</v>
      </c>
      <c r="AR44" s="130" t="n">
        <f aca="false">AP44-AQ44</f>
        <v>14022</v>
      </c>
      <c r="AS44" s="130"/>
      <c r="AT44" s="131" t="n">
        <v>0</v>
      </c>
      <c r="AU44" s="131" t="n">
        <v>0</v>
      </c>
      <c r="AV44" s="130" t="n">
        <f aca="false">AT44-AU44</f>
        <v>0</v>
      </c>
    </row>
    <row r="45" customFormat="false" ht="12.75" hidden="false" customHeight="true" outlineLevel="0" collapsed="false">
      <c r="A45" s="202" t="str">
        <f aca="false">CASHFLOW!A163</f>
        <v>   Other Investments (McDay Energy / Misc.)</v>
      </c>
      <c r="B45" s="103"/>
      <c r="C45" s="103"/>
      <c r="D45" s="210" t="n">
        <v>0</v>
      </c>
      <c r="E45" s="210" t="n">
        <v>0</v>
      </c>
      <c r="F45" s="210" t="n">
        <v>0</v>
      </c>
      <c r="G45" s="210" t="n">
        <v>0</v>
      </c>
      <c r="H45" s="210" t="n">
        <v>0</v>
      </c>
      <c r="I45" s="210" t="n">
        <v>0</v>
      </c>
      <c r="J45" s="210" t="n">
        <v>0</v>
      </c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130" t="n">
        <f aca="false">SUM(D45:O45)</f>
        <v>0</v>
      </c>
      <c r="Q45" s="131" t="n">
        <f aca="false">SUM(D45:J45)</f>
        <v>0</v>
      </c>
      <c r="R45" s="130" t="n">
        <f aca="false">P45-Q45</f>
        <v>0</v>
      </c>
      <c r="S45" s="130"/>
      <c r="T45" s="131" t="n">
        <v>0</v>
      </c>
      <c r="U45" s="131" t="n">
        <v>0</v>
      </c>
      <c r="V45" s="130" t="n">
        <f aca="false">T45-U45</f>
        <v>0</v>
      </c>
      <c r="W45" s="103"/>
      <c r="X45" s="103"/>
      <c r="Y45" s="103"/>
      <c r="Z45" s="103"/>
      <c r="AA45" s="103" t="str">
        <f aca="false">A45</f>
        <v>   Other Investments (McDay Energy / Misc.)</v>
      </c>
      <c r="AB45" s="103"/>
      <c r="AC45" s="103"/>
      <c r="AD45" s="157" t="n">
        <f aca="false">CASHFLOW!D163-'CF-Partnership, NNG &amp; 53K'!D45</f>
        <v>-0</v>
      </c>
      <c r="AE45" s="157" t="n">
        <f aca="false">CASHFLOW!E163-'CF-Partnership, NNG &amp; 53K'!E45</f>
        <v>-0</v>
      </c>
      <c r="AF45" s="157" t="n">
        <f aca="false">CASHFLOW!F163-'CF-Partnership, NNG &amp; 53K'!F45</f>
        <v>-0</v>
      </c>
      <c r="AG45" s="157" t="n">
        <f aca="false">CASHFLOW!G163-'CF-Partnership, NNG &amp; 53K'!G45</f>
        <v>-0</v>
      </c>
      <c r="AH45" s="157" t="n">
        <f aca="false">CASHFLOW!H163-'CF-Partnership, NNG &amp; 53K'!H45</f>
        <v>-0</v>
      </c>
      <c r="AI45" s="157" t="n">
        <f aca="false">CASHFLOW!I163-'CF-Partnership, NNG &amp; 53K'!I45</f>
        <v>-0</v>
      </c>
      <c r="AJ45" s="157" t="n">
        <f aca="false">CASHFLOW!J163-'CF-Partnership, NNG &amp; 53K'!J45</f>
        <v>-0</v>
      </c>
      <c r="AK45" s="157" t="n">
        <f aca="false">CASHFLOW!K163-'CF-Partnership, NNG &amp; 53K'!K45</f>
        <v>-0</v>
      </c>
      <c r="AL45" s="157" t="n">
        <f aca="false">CASHFLOW!L163-'CF-Partnership, NNG &amp; 53K'!L45</f>
        <v>-0</v>
      </c>
      <c r="AM45" s="157" t="n">
        <f aca="false">CASHFLOW!M163-'CF-Partnership, NNG &amp; 53K'!M45</f>
        <v>-0</v>
      </c>
      <c r="AN45" s="157" t="n">
        <f aca="false">CASHFLOW!N163-'CF-Partnership, NNG &amp; 53K'!N45</f>
        <v>-0</v>
      </c>
      <c r="AO45" s="157" t="n">
        <f aca="false">CASHFLOW!O163-'CF-Partnership, NNG &amp; 53K'!O45</f>
        <v>-0</v>
      </c>
      <c r="AP45" s="130" t="n">
        <f aca="false">SUM(AD45:AO45)</f>
        <v>0</v>
      </c>
      <c r="AQ45" s="131" t="n">
        <f aca="false">SUM(AD45:AJ45)</f>
        <v>0</v>
      </c>
      <c r="AR45" s="130" t="n">
        <f aca="false">AP45-AQ45</f>
        <v>0</v>
      </c>
      <c r="AS45" s="130"/>
      <c r="AT45" s="131" t="n">
        <v>0</v>
      </c>
      <c r="AU45" s="131" t="n">
        <v>0</v>
      </c>
      <c r="AV45" s="130" t="n">
        <f aca="false">AT45-AU45</f>
        <v>0</v>
      </c>
    </row>
    <row r="46" customFormat="false" ht="12.75" hidden="false" customHeight="true" outlineLevel="0" collapsed="false">
      <c r="A46" s="202" t="str">
        <f aca="false">CASHFLOW!A164</f>
        <v>   Other (Net Salvage &amp; Removal)</v>
      </c>
      <c r="B46" s="103"/>
      <c r="C46" s="103"/>
      <c r="D46" s="211" t="n">
        <v>0</v>
      </c>
      <c r="E46" s="211" t="n">
        <v>0</v>
      </c>
      <c r="F46" s="211" t="n">
        <v>0</v>
      </c>
      <c r="G46" s="211" t="n">
        <v>0</v>
      </c>
      <c r="H46" s="211" t="n">
        <v>0</v>
      </c>
      <c r="I46" s="211" t="n">
        <v>0</v>
      </c>
      <c r="J46" s="211" t="n">
        <v>0</v>
      </c>
      <c r="K46" s="211" t="n">
        <v>0</v>
      </c>
      <c r="L46" s="211" t="n">
        <v>0</v>
      </c>
      <c r="M46" s="211" t="n">
        <v>0</v>
      </c>
      <c r="N46" s="211" t="n">
        <v>0</v>
      </c>
      <c r="O46" s="211" t="n">
        <v>0</v>
      </c>
      <c r="P46" s="143" t="n">
        <f aca="false">SUM(D46:O46)</f>
        <v>0</v>
      </c>
      <c r="Q46" s="140" t="n">
        <f aca="false">SUM(D46:J46)</f>
        <v>0</v>
      </c>
      <c r="R46" s="143" t="n">
        <f aca="false">P46-Q46</f>
        <v>0</v>
      </c>
      <c r="S46" s="143"/>
      <c r="T46" s="211" t="n">
        <v>0</v>
      </c>
      <c r="U46" s="211" t="n">
        <v>0</v>
      </c>
      <c r="V46" s="159" t="n">
        <f aca="false">T46-U46</f>
        <v>0</v>
      </c>
      <c r="W46" s="103"/>
      <c r="X46" s="103"/>
      <c r="Y46" s="103"/>
      <c r="Z46" s="103"/>
      <c r="AA46" s="103" t="str">
        <f aca="false">A46</f>
        <v>   Other (Net Salvage &amp; Removal)</v>
      </c>
      <c r="AB46" s="103"/>
      <c r="AC46" s="103"/>
      <c r="AD46" s="159" t="n">
        <f aca="false">CASHFLOW!D164-'CF-Partnership, NNG &amp; 53K'!D46</f>
        <v>4</v>
      </c>
      <c r="AE46" s="159" t="n">
        <f aca="false">CASHFLOW!E164-'CF-Partnership, NNG &amp; 53K'!E46</f>
        <v>11</v>
      </c>
      <c r="AF46" s="159" t="n">
        <f aca="false">CASHFLOW!F164-'CF-Partnership, NNG &amp; 53K'!F46</f>
        <v>-247</v>
      </c>
      <c r="AG46" s="159" t="n">
        <f aca="false">CASHFLOW!G164-'CF-Partnership, NNG &amp; 53K'!G46</f>
        <v>-108</v>
      </c>
      <c r="AH46" s="159" t="n">
        <f aca="false">CASHFLOW!H164-'CF-Partnership, NNG &amp; 53K'!H46</f>
        <v>1508</v>
      </c>
      <c r="AI46" s="159" t="n">
        <f aca="false">CASHFLOW!I164-'CF-Partnership, NNG &amp; 53K'!I46</f>
        <v>-2197</v>
      </c>
      <c r="AJ46" s="159" t="n">
        <f aca="false">CASHFLOW!J164-'CF-Partnership, NNG &amp; 53K'!J46</f>
        <v>8</v>
      </c>
      <c r="AK46" s="159" t="n">
        <f aca="false">CASHFLOW!K164-'CF-Partnership, NNG &amp; 53K'!K46</f>
        <v>0</v>
      </c>
      <c r="AL46" s="159" t="n">
        <f aca="false">CASHFLOW!L164-'CF-Partnership, NNG &amp; 53K'!L46</f>
        <v>0</v>
      </c>
      <c r="AM46" s="159" t="n">
        <f aca="false">CASHFLOW!M164-'CF-Partnership, NNG &amp; 53K'!M46</f>
        <v>0</v>
      </c>
      <c r="AN46" s="159" t="n">
        <f aca="false">CASHFLOW!N164-'CF-Partnership, NNG &amp; 53K'!N46</f>
        <v>0</v>
      </c>
      <c r="AO46" s="159" t="n">
        <f aca="false">CASHFLOW!O164-'CF-Partnership, NNG &amp; 53K'!O46</f>
        <v>0</v>
      </c>
      <c r="AP46" s="143" t="n">
        <f aca="false">SUM(AD46:AO46)</f>
        <v>-1021</v>
      </c>
      <c r="AQ46" s="140" t="n">
        <f aca="false">SUM(AD46:AJ46)</f>
        <v>-1021</v>
      </c>
      <c r="AR46" s="143" t="n">
        <f aca="false">AP46-AQ46</f>
        <v>0</v>
      </c>
      <c r="AS46" s="143"/>
      <c r="AT46" s="211" t="n">
        <v>0</v>
      </c>
      <c r="AU46" s="211" t="n">
        <v>0</v>
      </c>
      <c r="AV46" s="159" t="n">
        <f aca="false">AT46-AU46</f>
        <v>0</v>
      </c>
    </row>
    <row r="47" customFormat="false" ht="3.95" hidden="false" customHeight="true" outlineLevel="0" collapsed="false">
      <c r="A47" s="115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</row>
    <row r="48" customFormat="false" ht="12.75" hidden="false" customHeight="true" outlineLevel="0" collapsed="false">
      <c r="A48" s="196" t="str">
        <f aca="false">CASHFLOW!A166</f>
        <v>      Cash Provided by (Used in) Investing Activities</v>
      </c>
      <c r="B48" s="103"/>
      <c r="C48" s="103"/>
      <c r="D48" s="159" t="n">
        <f aca="false">SUM(D42:D47)</f>
        <v>0</v>
      </c>
      <c r="E48" s="159" t="n">
        <f aca="false">SUM(E42:E47)</f>
        <v>0</v>
      </c>
      <c r="F48" s="159" t="n">
        <f aca="false">SUM(F42:F47)</f>
        <v>0</v>
      </c>
      <c r="G48" s="159" t="n">
        <f aca="false">SUM(G42:G47)</f>
        <v>0</v>
      </c>
      <c r="H48" s="159" t="n">
        <f aca="false">SUM(H42:H47)</f>
        <v>0</v>
      </c>
      <c r="I48" s="159" t="n">
        <f aca="false">SUM(I42:I47)</f>
        <v>0</v>
      </c>
      <c r="J48" s="159" t="n">
        <f aca="false">SUM(J42:J47)</f>
        <v>0</v>
      </c>
      <c r="K48" s="159" t="n">
        <f aca="false">SUM(K42:K47)</f>
        <v>0</v>
      </c>
      <c r="L48" s="159" t="n">
        <f aca="false">SUM(L42:L47)</f>
        <v>0</v>
      </c>
      <c r="M48" s="159" t="n">
        <f aca="false">SUM(M42:M47)</f>
        <v>0</v>
      </c>
      <c r="N48" s="159" t="n">
        <f aca="false">SUM(N42:N47)</f>
        <v>0</v>
      </c>
      <c r="O48" s="159" t="n">
        <f aca="false">SUM(O42:O47)</f>
        <v>0</v>
      </c>
      <c r="P48" s="159" t="n">
        <f aca="false">SUM(P42:P47)</f>
        <v>0</v>
      </c>
      <c r="Q48" s="159" t="n">
        <f aca="false">SUM(Q42:Q47)</f>
        <v>0</v>
      </c>
      <c r="R48" s="159" t="n">
        <f aca="false">SUM(R42:R47)</f>
        <v>0</v>
      </c>
      <c r="S48" s="159"/>
      <c r="T48" s="159" t="n">
        <f aca="false">SUM(T42:T47)</f>
        <v>0</v>
      </c>
      <c r="U48" s="159" t="n">
        <f aca="false">SUM(U42:U47)</f>
        <v>0</v>
      </c>
      <c r="V48" s="159" t="n">
        <f aca="false">SUM(V42:V47)</f>
        <v>0</v>
      </c>
      <c r="W48" s="103"/>
      <c r="X48" s="103"/>
      <c r="Y48" s="103"/>
      <c r="Z48" s="103"/>
      <c r="AA48" s="103" t="str">
        <f aca="false">A48</f>
        <v>      Cash Provided by (Used in) Investing Activities</v>
      </c>
      <c r="AB48" s="103"/>
      <c r="AC48" s="103"/>
      <c r="AD48" s="159" t="n">
        <f aca="false">SUM(AD42:AD47)</f>
        <v>-46091</v>
      </c>
      <c r="AE48" s="159" t="n">
        <f aca="false">SUM(AE42:AE47)</f>
        <v>-10275</v>
      </c>
      <c r="AF48" s="159" t="n">
        <f aca="false">SUM(AF42:AF47)</f>
        <v>-2504</v>
      </c>
      <c r="AG48" s="159" t="n">
        <f aca="false">SUM(AG42:AG47)</f>
        <v>4995</v>
      </c>
      <c r="AH48" s="159" t="n">
        <f aca="false">SUM(AH42:AH47)</f>
        <v>2576</v>
      </c>
      <c r="AI48" s="159" t="n">
        <f aca="false">SUM(AI42:AI47)</f>
        <v>4295</v>
      </c>
      <c r="AJ48" s="159" t="n">
        <f aca="false">SUM(AJ42:AJ47)</f>
        <v>-2541</v>
      </c>
      <c r="AK48" s="159" t="n">
        <f aca="false">SUM(AK42:AK47)</f>
        <v>-8496</v>
      </c>
      <c r="AL48" s="159" t="n">
        <f aca="false">SUM(AL42:AL47)</f>
        <v>-11400</v>
      </c>
      <c r="AM48" s="159" t="n">
        <f aca="false">SUM(AM42:AM47)</f>
        <v>-8961</v>
      </c>
      <c r="AN48" s="159" t="n">
        <f aca="false">SUM(AN42:AN47)</f>
        <v>-8959</v>
      </c>
      <c r="AO48" s="159" t="n">
        <f aca="false">SUM(AO42:AO47)</f>
        <v>-2270</v>
      </c>
      <c r="AP48" s="159" t="n">
        <f aca="false">SUM(AP42:AP47)</f>
        <v>-89631</v>
      </c>
      <c r="AQ48" s="159" t="n">
        <f aca="false">SUM(AQ42:AQ47)</f>
        <v>-49545</v>
      </c>
      <c r="AR48" s="159" t="n">
        <f aca="false">SUM(AR42:AR47)</f>
        <v>-40086</v>
      </c>
      <c r="AS48" s="159"/>
      <c r="AT48" s="159" t="n">
        <f aca="false">SUM(AT42:AT47)</f>
        <v>0</v>
      </c>
      <c r="AU48" s="159" t="n">
        <f aca="false">SUM(AU42:AU47)</f>
        <v>0</v>
      </c>
      <c r="AV48" s="159" t="n">
        <f aca="false">SUM(AV42:AV47)</f>
        <v>0</v>
      </c>
    </row>
    <row r="49" customFormat="false" ht="6" hidden="false" customHeight="true" outlineLevel="0" collapsed="false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</row>
    <row r="50" customFormat="false" ht="12.75" hidden="false" customHeight="true" outlineLevel="0" collapsed="false">
      <c r="A50" s="196" t="str">
        <f aca="false">CASHFLOW!A168</f>
        <v>NET CASH FLOW</v>
      </c>
      <c r="B50" s="103"/>
      <c r="C50" s="103"/>
      <c r="D50" s="164" t="n">
        <f aca="false">D39+D48</f>
        <v>-268</v>
      </c>
      <c r="E50" s="164" t="n">
        <f aca="false">E39+E48</f>
        <v>-199</v>
      </c>
      <c r="F50" s="164" t="n">
        <f aca="false">F39+F48</f>
        <v>605</v>
      </c>
      <c r="G50" s="164" t="n">
        <f aca="false">G39+G48</f>
        <v>-534</v>
      </c>
      <c r="H50" s="164" t="n">
        <f aca="false">H39+H48</f>
        <v>-195</v>
      </c>
      <c r="I50" s="164" t="n">
        <f aca="false">I39+I48</f>
        <v>3563</v>
      </c>
      <c r="J50" s="164" t="n">
        <f aca="false">J39+J48</f>
        <v>-202</v>
      </c>
      <c r="K50" s="164" t="n">
        <f aca="false">K39+K48</f>
        <v>1822</v>
      </c>
      <c r="L50" s="164" t="n">
        <f aca="false">L39+L48</f>
        <v>603</v>
      </c>
      <c r="M50" s="164" t="n">
        <f aca="false">M39+M48</f>
        <v>-238</v>
      </c>
      <c r="N50" s="164" t="n">
        <f aca="false">N39+N48</f>
        <v>-252</v>
      </c>
      <c r="O50" s="164" t="n">
        <f aca="false">O39+O48</f>
        <v>798</v>
      </c>
      <c r="P50" s="164" t="n">
        <f aca="false">P39+P48</f>
        <v>5503</v>
      </c>
      <c r="Q50" s="164" t="n">
        <f aca="false">Q39+Q48</f>
        <v>2770</v>
      </c>
      <c r="R50" s="164" t="n">
        <f aca="false">R39+R48</f>
        <v>2733</v>
      </c>
      <c r="S50" s="166"/>
      <c r="T50" s="164" t="n">
        <f aca="false">T39+T48</f>
        <v>0</v>
      </c>
      <c r="U50" s="164" t="n">
        <f aca="false">U39+U48</f>
        <v>0</v>
      </c>
      <c r="V50" s="164" t="n">
        <f aca="false">V39+V48</f>
        <v>0</v>
      </c>
      <c r="W50" s="103"/>
      <c r="X50" s="103"/>
      <c r="Y50" s="103"/>
      <c r="Z50" s="103"/>
      <c r="AA50" s="100" t="str">
        <f aca="false">A50</f>
        <v>NET CASH FLOW</v>
      </c>
      <c r="AB50" s="103"/>
      <c r="AC50" s="103"/>
      <c r="AD50" s="164" t="n">
        <f aca="false">AD39+AD48</f>
        <v>31632</v>
      </c>
      <c r="AE50" s="164" t="n">
        <f aca="false">AE39+AE48</f>
        <v>-28897</v>
      </c>
      <c r="AF50" s="164" t="n">
        <f aca="false">AF39+AF48</f>
        <v>7689</v>
      </c>
      <c r="AG50" s="164" t="n">
        <f aca="false">AG39+AG48</f>
        <v>47991</v>
      </c>
      <c r="AH50" s="164" t="n">
        <f aca="false">AH39+AH48</f>
        <v>13540</v>
      </c>
      <c r="AI50" s="164" t="n">
        <f aca="false">AI39+AI48</f>
        <v>-7296</v>
      </c>
      <c r="AJ50" s="164" t="n">
        <f aca="false">AJ39+AJ48</f>
        <v>11903</v>
      </c>
      <c r="AK50" s="164" t="n">
        <f aca="false">AK39+AK48</f>
        <v>9627</v>
      </c>
      <c r="AL50" s="164" t="n">
        <f aca="false">AL39+AL48</f>
        <v>-6003</v>
      </c>
      <c r="AM50" s="164" t="n">
        <f aca="false">AM39+AM48</f>
        <v>-16362</v>
      </c>
      <c r="AN50" s="164" t="n">
        <f aca="false">AN39+AN48</f>
        <v>-21748</v>
      </c>
      <c r="AO50" s="164" t="n">
        <f aca="false">AO39+AO48</f>
        <v>-15098</v>
      </c>
      <c r="AP50" s="164" t="n">
        <f aca="false">AP39+AP48</f>
        <v>26978</v>
      </c>
      <c r="AQ50" s="164" t="n">
        <f aca="false">AQ39+AQ48</f>
        <v>76562</v>
      </c>
      <c r="AR50" s="164" t="n">
        <f aca="false">AR39+AR48</f>
        <v>-49584</v>
      </c>
      <c r="AS50" s="166"/>
      <c r="AT50" s="164" t="n">
        <f aca="false">AT39+AT48</f>
        <v>0</v>
      </c>
      <c r="AU50" s="164" t="n">
        <f aca="false">AU39+AU48</f>
        <v>0</v>
      </c>
      <c r="AV50" s="164" t="n">
        <f aca="false">AV39+AV48</f>
        <v>0</v>
      </c>
    </row>
    <row r="51" customFormat="false" ht="6" hidden="false" customHeight="true" outlineLevel="0" collapsed="false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</row>
    <row r="52" customFormat="false" ht="12.75" hidden="false" customHeight="true" outlineLevel="0" collapsed="false">
      <c r="A52" s="196" t="str">
        <f aca="false">CASHFLOW!A170</f>
        <v>OTHER ITEMS AFFECTING INTERCO. (CORP.) BALANCE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 t="str">
        <f aca="false">A52</f>
        <v>OTHER ITEMS AFFECTING INTERCO. (CORP.) BALANCE</v>
      </c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</row>
    <row r="53" customFormat="false" ht="12.75" hidden="false" customHeight="true" outlineLevel="0" collapsed="false">
      <c r="A53" s="202" t="str">
        <f aca="false">CASHFLOW!A171</f>
        <v>   Dividends Transferred to EPC </v>
      </c>
      <c r="B53" s="103"/>
      <c r="C53" s="103"/>
      <c r="D53" s="210" t="n">
        <v>0</v>
      </c>
      <c r="E53" s="210" t="n">
        <v>0</v>
      </c>
      <c r="F53" s="210" t="n">
        <v>0</v>
      </c>
      <c r="G53" s="210" t="n">
        <v>0</v>
      </c>
      <c r="H53" s="210" t="n">
        <v>0</v>
      </c>
      <c r="I53" s="210" t="n">
        <v>0</v>
      </c>
      <c r="J53" s="210" t="n">
        <v>0</v>
      </c>
      <c r="K53" s="210" t="n">
        <v>0</v>
      </c>
      <c r="L53" s="210" t="n">
        <v>0</v>
      </c>
      <c r="M53" s="210" t="n">
        <v>0</v>
      </c>
      <c r="N53" s="210" t="n">
        <v>0</v>
      </c>
      <c r="O53" s="210" t="n">
        <v>0</v>
      </c>
      <c r="P53" s="130" t="n">
        <f aca="false">SUM(D53:O53)</f>
        <v>0</v>
      </c>
      <c r="Q53" s="131" t="n">
        <f aca="false">SUM(D53:J53)</f>
        <v>0</v>
      </c>
      <c r="R53" s="130" t="n">
        <f aca="false">P53-Q53</f>
        <v>0</v>
      </c>
      <c r="S53" s="130"/>
      <c r="T53" s="131" t="n">
        <v>0</v>
      </c>
      <c r="U53" s="131" t="n">
        <v>0</v>
      </c>
      <c r="V53" s="130" t="n">
        <f aca="false">T53-U53</f>
        <v>0</v>
      </c>
      <c r="W53" s="103"/>
      <c r="X53" s="103"/>
      <c r="Y53" s="103"/>
      <c r="Z53" s="103"/>
      <c r="AA53" s="103" t="str">
        <f aca="false">A53</f>
        <v>   Dividends Transferred to EPC </v>
      </c>
      <c r="AB53" s="103"/>
      <c r="AC53" s="103"/>
      <c r="AD53" s="157" t="n">
        <f aca="false">CASHFLOW!D171-'CF-Partnership, NNG &amp; 53K'!D53</f>
        <v>0</v>
      </c>
      <c r="AE53" s="157" t="n">
        <f aca="false">CASHFLOW!E171-'CF-Partnership, NNG &amp; 53K'!E53</f>
        <v>0</v>
      </c>
      <c r="AF53" s="157" t="n">
        <f aca="false">CASHFLOW!F171-'CF-Partnership, NNG &amp; 53K'!F53</f>
        <v>0</v>
      </c>
      <c r="AG53" s="157" t="n">
        <f aca="false">CASHFLOW!G171-'CF-Partnership, NNG &amp; 53K'!G53</f>
        <v>0</v>
      </c>
      <c r="AH53" s="157" t="n">
        <f aca="false">CASHFLOW!H171-'CF-Partnership, NNG &amp; 53K'!H53</f>
        <v>0</v>
      </c>
      <c r="AI53" s="157" t="n">
        <f aca="false">CASHFLOW!I171-'CF-Partnership, NNG &amp; 53K'!I53</f>
        <v>0</v>
      </c>
      <c r="AJ53" s="157" t="n">
        <f aca="false">CASHFLOW!J171-'CF-Partnership, NNG &amp; 53K'!J53</f>
        <v>0</v>
      </c>
      <c r="AK53" s="157" t="n">
        <f aca="false">CASHFLOW!K171-'CF-Partnership, NNG &amp; 53K'!K53</f>
        <v>0</v>
      </c>
      <c r="AL53" s="157" t="n">
        <f aca="false">CASHFLOW!L171-'CF-Partnership, NNG &amp; 53K'!L53</f>
        <v>0</v>
      </c>
      <c r="AM53" s="157" t="n">
        <f aca="false">CASHFLOW!M171-'CF-Partnership, NNG &amp; 53K'!M53</f>
        <v>0</v>
      </c>
      <c r="AN53" s="157" t="n">
        <f aca="false">CASHFLOW!N171-'CF-Partnership, NNG &amp; 53K'!N53</f>
        <v>0</v>
      </c>
      <c r="AO53" s="157" t="n">
        <f aca="false">CASHFLOW!O171-'CF-Partnership, NNG &amp; 53K'!O53</f>
        <v>0</v>
      </c>
      <c r="AP53" s="130" t="n">
        <f aca="false">SUM(AD53:AO53)</f>
        <v>0</v>
      </c>
      <c r="AQ53" s="131" t="n">
        <f aca="false">SUM(AD53:AJ53)</f>
        <v>0</v>
      </c>
      <c r="AR53" s="130" t="n">
        <f aca="false">AP53-AQ53</f>
        <v>0</v>
      </c>
      <c r="AS53" s="130"/>
      <c r="AT53" s="131" t="n">
        <v>0</v>
      </c>
      <c r="AU53" s="131" t="n">
        <v>0</v>
      </c>
      <c r="AV53" s="130" t="n">
        <f aca="false">AT53-AU53</f>
        <v>0</v>
      </c>
    </row>
    <row r="54" customFormat="false" ht="12.75" hidden="false" customHeight="true" outlineLevel="0" collapsed="false">
      <c r="A54" s="202" t="str">
        <f aca="false">CASHFLOW!A172</f>
        <v>   Inc. / (Dec.) in Long-Term Debt  (External)</v>
      </c>
      <c r="B54" s="103"/>
      <c r="C54" s="103"/>
      <c r="D54" s="210" t="n">
        <v>0</v>
      </c>
      <c r="E54" s="210" t="n">
        <v>0</v>
      </c>
      <c r="F54" s="210" t="n">
        <v>0</v>
      </c>
      <c r="G54" s="210" t="n">
        <v>0</v>
      </c>
      <c r="H54" s="210" t="n">
        <v>0</v>
      </c>
      <c r="I54" s="210" t="n">
        <v>0</v>
      </c>
      <c r="J54" s="210" t="n">
        <v>0</v>
      </c>
      <c r="K54" s="210" t="n">
        <v>0</v>
      </c>
      <c r="L54" s="210" t="n">
        <v>0</v>
      </c>
      <c r="M54" s="210" t="n">
        <v>0</v>
      </c>
      <c r="N54" s="210" t="n">
        <v>0</v>
      </c>
      <c r="O54" s="210" t="n">
        <v>0</v>
      </c>
      <c r="P54" s="130" t="n">
        <f aca="false">SUM(D54:O54)</f>
        <v>0</v>
      </c>
      <c r="Q54" s="131" t="n">
        <f aca="false">SUM(D54:J54)</f>
        <v>0</v>
      </c>
      <c r="R54" s="130" t="n">
        <f aca="false">P54-Q54</f>
        <v>0</v>
      </c>
      <c r="S54" s="130"/>
      <c r="T54" s="131" t="n">
        <v>0</v>
      </c>
      <c r="U54" s="131" t="n">
        <v>0</v>
      </c>
      <c r="V54" s="130" t="n">
        <f aca="false">T54-U54</f>
        <v>0</v>
      </c>
      <c r="W54" s="103"/>
      <c r="X54" s="103"/>
      <c r="Y54" s="103"/>
      <c r="Z54" s="103"/>
      <c r="AA54" s="103" t="str">
        <f aca="false">A54</f>
        <v>   Inc. / (Dec.) in Long-Term Debt  (External)</v>
      </c>
      <c r="AB54" s="103"/>
      <c r="AC54" s="103"/>
      <c r="AD54" s="157" t="n">
        <f aca="false">CASHFLOW!D172-'CF-Partnership, NNG &amp; 53K'!D54</f>
        <v>0</v>
      </c>
      <c r="AE54" s="157" t="n">
        <f aca="false">CASHFLOW!E172-'CF-Partnership, NNG &amp; 53K'!E54</f>
        <v>0</v>
      </c>
      <c r="AF54" s="157" t="n">
        <f aca="false">CASHFLOW!F172-'CF-Partnership, NNG &amp; 53K'!F54</f>
        <v>0</v>
      </c>
      <c r="AG54" s="157" t="n">
        <f aca="false">CASHFLOW!G172-'CF-Partnership, NNG &amp; 53K'!G54</f>
        <v>0</v>
      </c>
      <c r="AH54" s="157" t="n">
        <f aca="false">CASHFLOW!H172-'CF-Partnership, NNG &amp; 53K'!H54</f>
        <v>0</v>
      </c>
      <c r="AI54" s="157" t="n">
        <f aca="false">CASHFLOW!I172-'CF-Partnership, NNG &amp; 53K'!I54</f>
        <v>0</v>
      </c>
      <c r="AJ54" s="157" t="n">
        <f aca="false">CASHFLOW!J172-'CF-Partnership, NNG &amp; 53K'!J54</f>
        <v>0</v>
      </c>
      <c r="AK54" s="157" t="n">
        <f aca="false">CASHFLOW!K172-'CF-Partnership, NNG &amp; 53K'!K54</f>
        <v>0</v>
      </c>
      <c r="AL54" s="157" t="n">
        <f aca="false">CASHFLOW!L172-'CF-Partnership, NNG &amp; 53K'!L54</f>
        <v>0</v>
      </c>
      <c r="AM54" s="157" t="n">
        <f aca="false">CASHFLOW!M172-'CF-Partnership, NNG &amp; 53K'!M54</f>
        <v>0</v>
      </c>
      <c r="AN54" s="157" t="n">
        <f aca="false">CASHFLOW!N172-'CF-Partnership, NNG &amp; 53K'!N54</f>
        <v>0</v>
      </c>
      <c r="AO54" s="157" t="n">
        <f aca="false">CASHFLOW!O172-'CF-Partnership, NNG &amp; 53K'!O54</f>
        <v>0</v>
      </c>
      <c r="AP54" s="130" t="n">
        <f aca="false">SUM(AD54:AO54)</f>
        <v>0</v>
      </c>
      <c r="AQ54" s="131" t="n">
        <f aca="false">SUM(AD54:AJ54)</f>
        <v>0</v>
      </c>
      <c r="AR54" s="130" t="n">
        <f aca="false">AP54-AQ54</f>
        <v>0</v>
      </c>
      <c r="AS54" s="130"/>
      <c r="AT54" s="131" t="n">
        <v>0</v>
      </c>
      <c r="AU54" s="131" t="n">
        <v>0</v>
      </c>
      <c r="AV54" s="130" t="n">
        <f aca="false">AT54-AU54</f>
        <v>0</v>
      </c>
    </row>
    <row r="55" customFormat="false" ht="12.75" hidden="false" customHeight="true" outlineLevel="0" collapsed="false">
      <c r="A55" s="202" t="str">
        <f aca="false">CASHFLOW!A173</f>
        <v>   Inc. / (Dec.) in Long-Term Debt Discount </v>
      </c>
      <c r="B55" s="103"/>
      <c r="C55" s="103"/>
      <c r="D55" s="210" t="n">
        <v>0</v>
      </c>
      <c r="E55" s="210" t="n">
        <v>0</v>
      </c>
      <c r="F55" s="210" t="n">
        <v>0</v>
      </c>
      <c r="G55" s="210" t="n">
        <v>0</v>
      </c>
      <c r="H55" s="210" t="n">
        <v>0</v>
      </c>
      <c r="I55" s="210" t="n">
        <v>0</v>
      </c>
      <c r="J55" s="210" t="n">
        <v>0</v>
      </c>
      <c r="K55" s="210" t="n">
        <v>0</v>
      </c>
      <c r="L55" s="210" t="n">
        <v>0</v>
      </c>
      <c r="M55" s="210" t="n">
        <v>0</v>
      </c>
      <c r="N55" s="210" t="n">
        <v>0</v>
      </c>
      <c r="O55" s="210" t="n">
        <v>0</v>
      </c>
      <c r="P55" s="130" t="n">
        <f aca="false">SUM(D55:O55)</f>
        <v>0</v>
      </c>
      <c r="Q55" s="131" t="n">
        <f aca="false">SUM(D55:J55)</f>
        <v>0</v>
      </c>
      <c r="R55" s="130" t="n">
        <f aca="false">P55-Q55</f>
        <v>0</v>
      </c>
      <c r="S55" s="130"/>
      <c r="T55" s="131" t="n">
        <v>0</v>
      </c>
      <c r="U55" s="131" t="n">
        <v>0</v>
      </c>
      <c r="V55" s="130" t="n">
        <f aca="false">T55-U55</f>
        <v>0</v>
      </c>
      <c r="W55" s="103"/>
      <c r="X55" s="103"/>
      <c r="Y55" s="103"/>
      <c r="Z55" s="103"/>
      <c r="AA55" s="103" t="str">
        <f aca="false">A55</f>
        <v>   Inc. / (Dec.) in Long-Term Debt Discount </v>
      </c>
      <c r="AB55" s="103"/>
      <c r="AC55" s="103"/>
      <c r="AD55" s="157" t="n">
        <f aca="false">CASHFLOW!D173-'CF-Partnership, NNG &amp; 53K'!D55</f>
        <v>0</v>
      </c>
      <c r="AE55" s="157" t="n">
        <f aca="false">CASHFLOW!E173-'CF-Partnership, NNG &amp; 53K'!E55</f>
        <v>0</v>
      </c>
      <c r="AF55" s="157" t="n">
        <f aca="false">CASHFLOW!F173-'CF-Partnership, NNG &amp; 53K'!F55</f>
        <v>0</v>
      </c>
      <c r="AG55" s="157" t="n">
        <f aca="false">CASHFLOW!G173-'CF-Partnership, NNG &amp; 53K'!G55</f>
        <v>0</v>
      </c>
      <c r="AH55" s="157" t="n">
        <f aca="false">CASHFLOW!H173-'CF-Partnership, NNG &amp; 53K'!H55</f>
        <v>0</v>
      </c>
      <c r="AI55" s="157" t="n">
        <f aca="false">CASHFLOW!I173-'CF-Partnership, NNG &amp; 53K'!I55</f>
        <v>0</v>
      </c>
      <c r="AJ55" s="157" t="n">
        <f aca="false">CASHFLOW!J173-'CF-Partnership, NNG &amp; 53K'!J55</f>
        <v>0</v>
      </c>
      <c r="AK55" s="157" t="n">
        <f aca="false">CASHFLOW!K173-'CF-Partnership, NNG &amp; 53K'!K55</f>
        <v>0</v>
      </c>
      <c r="AL55" s="157" t="n">
        <f aca="false">CASHFLOW!L173-'CF-Partnership, NNG &amp; 53K'!L55</f>
        <v>0</v>
      </c>
      <c r="AM55" s="157" t="n">
        <f aca="false">CASHFLOW!M173-'CF-Partnership, NNG &amp; 53K'!M55</f>
        <v>0</v>
      </c>
      <c r="AN55" s="157" t="n">
        <f aca="false">CASHFLOW!N173-'CF-Partnership, NNG &amp; 53K'!N55</f>
        <v>0</v>
      </c>
      <c r="AO55" s="157" t="n">
        <f aca="false">CASHFLOW!O173-'CF-Partnership, NNG &amp; 53K'!O55</f>
        <v>0</v>
      </c>
      <c r="AP55" s="130" t="n">
        <f aca="false">SUM(AD55:AO55)</f>
        <v>0</v>
      </c>
      <c r="AQ55" s="131" t="n">
        <f aca="false">SUM(AD55:AJ55)</f>
        <v>0</v>
      </c>
      <c r="AR55" s="130" t="n">
        <f aca="false">AP55-AQ55</f>
        <v>0</v>
      </c>
      <c r="AS55" s="130"/>
      <c r="AT55" s="131" t="n">
        <v>0</v>
      </c>
      <c r="AU55" s="131" t="n">
        <v>0</v>
      </c>
      <c r="AV55" s="130" t="n">
        <f aca="false">AT55-AU55</f>
        <v>0</v>
      </c>
    </row>
    <row r="56" customFormat="false" ht="12.75" hidden="false" customHeight="true" outlineLevel="0" collapsed="false">
      <c r="A56" s="202" t="str">
        <f aca="false">CASHFLOW!A174</f>
        <v>   Contribution from Parent </v>
      </c>
      <c r="B56" s="103"/>
      <c r="C56" s="103"/>
      <c r="D56" s="211" t="n">
        <v>0</v>
      </c>
      <c r="E56" s="211" t="n">
        <v>0</v>
      </c>
      <c r="F56" s="211" t="n">
        <v>0</v>
      </c>
      <c r="G56" s="211" t="n">
        <v>0</v>
      </c>
      <c r="H56" s="211" t="n">
        <v>0</v>
      </c>
      <c r="I56" s="211" t="n">
        <v>0</v>
      </c>
      <c r="J56" s="211" t="n">
        <v>0</v>
      </c>
      <c r="K56" s="211" t="n">
        <v>0</v>
      </c>
      <c r="L56" s="211" t="n">
        <v>0</v>
      </c>
      <c r="M56" s="211" t="n">
        <v>0</v>
      </c>
      <c r="N56" s="211" t="n">
        <v>0</v>
      </c>
      <c r="O56" s="211" t="n">
        <v>0</v>
      </c>
      <c r="P56" s="143" t="n">
        <f aca="false">SUM(D56:O56)</f>
        <v>0</v>
      </c>
      <c r="Q56" s="140" t="n">
        <f aca="false">SUM(D56:J56)</f>
        <v>0</v>
      </c>
      <c r="R56" s="143" t="n">
        <f aca="false">P56-Q56</f>
        <v>0</v>
      </c>
      <c r="S56" s="143"/>
      <c r="T56" s="211" t="n">
        <v>0</v>
      </c>
      <c r="U56" s="211" t="n">
        <v>0</v>
      </c>
      <c r="V56" s="159" t="n">
        <f aca="false">T56-U56</f>
        <v>0</v>
      </c>
      <c r="W56" s="103"/>
      <c r="X56" s="103"/>
      <c r="Y56" s="103"/>
      <c r="Z56" s="103"/>
      <c r="AA56" s="103" t="str">
        <f aca="false">A56</f>
        <v>   Contribution from Parent </v>
      </c>
      <c r="AB56" s="103"/>
      <c r="AC56" s="103"/>
      <c r="AD56" s="159" t="n">
        <f aca="false">CASHFLOW!D174-'CF-Partnership, NNG &amp; 53K'!D56</f>
        <v>0</v>
      </c>
      <c r="AE56" s="159" t="n">
        <f aca="false">CASHFLOW!E174-'CF-Partnership, NNG &amp; 53K'!E56</f>
        <v>0</v>
      </c>
      <c r="AF56" s="159" t="n">
        <f aca="false">CASHFLOW!F174-'CF-Partnership, NNG &amp; 53K'!F56</f>
        <v>0</v>
      </c>
      <c r="AG56" s="159" t="n">
        <f aca="false">CASHFLOW!G174-'CF-Partnership, NNG &amp; 53K'!G56</f>
        <v>0</v>
      </c>
      <c r="AH56" s="159" t="n">
        <f aca="false">CASHFLOW!H174-'CF-Partnership, NNG &amp; 53K'!H56</f>
        <v>0</v>
      </c>
      <c r="AI56" s="159" t="n">
        <f aca="false">CASHFLOW!I174-'CF-Partnership, NNG &amp; 53K'!I56</f>
        <v>0</v>
      </c>
      <c r="AJ56" s="159" t="n">
        <f aca="false">CASHFLOW!J174-'CF-Partnership, NNG &amp; 53K'!J56</f>
        <v>0</v>
      </c>
      <c r="AK56" s="159" t="n">
        <f aca="false">CASHFLOW!K174-'CF-Partnership, NNG &amp; 53K'!K56</f>
        <v>0</v>
      </c>
      <c r="AL56" s="159" t="n">
        <f aca="false">CASHFLOW!L174-'CF-Partnership, NNG &amp; 53K'!L56</f>
        <v>0</v>
      </c>
      <c r="AM56" s="159" t="n">
        <f aca="false">CASHFLOW!M174-'CF-Partnership, NNG &amp; 53K'!M56</f>
        <v>0</v>
      </c>
      <c r="AN56" s="159" t="n">
        <f aca="false">CASHFLOW!N174-'CF-Partnership, NNG &amp; 53K'!N56</f>
        <v>0</v>
      </c>
      <c r="AO56" s="159" t="n">
        <f aca="false">CASHFLOW!O174-'CF-Partnership, NNG &amp; 53K'!O56</f>
        <v>0</v>
      </c>
      <c r="AP56" s="143" t="n">
        <f aca="false">SUM(AD56:AO56)</f>
        <v>0</v>
      </c>
      <c r="AQ56" s="140" t="n">
        <f aca="false">SUM(AD56:AJ56)</f>
        <v>0</v>
      </c>
      <c r="AR56" s="143" t="n">
        <f aca="false">AP56-AQ56</f>
        <v>0</v>
      </c>
      <c r="AS56" s="143"/>
      <c r="AT56" s="211" t="n">
        <v>0</v>
      </c>
      <c r="AU56" s="211" t="n">
        <v>0</v>
      </c>
      <c r="AV56" s="159" t="n">
        <f aca="false">AT56-AU56</f>
        <v>0</v>
      </c>
    </row>
    <row r="57" customFormat="false" ht="3.95" hidden="false" customHeight="true" outlineLevel="0" collapsed="false">
      <c r="A57" s="115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</row>
    <row r="58" customFormat="false" ht="12.75" hidden="false" customHeight="true" outlineLevel="0" collapsed="false">
      <c r="A58" s="196" t="str">
        <f aca="false">CASHFLOW!A176</f>
        <v>      Total Items Affecting Intercompany (Corp.) Balance</v>
      </c>
      <c r="B58" s="103"/>
      <c r="C58" s="103"/>
      <c r="D58" s="159" t="n">
        <f aca="false">SUM(D52:D57)</f>
        <v>0</v>
      </c>
      <c r="E58" s="159" t="n">
        <f aca="false">SUM(E52:E57)</f>
        <v>0</v>
      </c>
      <c r="F58" s="159" t="n">
        <f aca="false">SUM(F52:F57)</f>
        <v>0</v>
      </c>
      <c r="G58" s="159" t="n">
        <f aca="false">SUM(G52:G57)</f>
        <v>0</v>
      </c>
      <c r="H58" s="159" t="n">
        <f aca="false">SUM(H52:H57)</f>
        <v>0</v>
      </c>
      <c r="I58" s="159" t="n">
        <f aca="false">SUM(I52:I57)</f>
        <v>0</v>
      </c>
      <c r="J58" s="159" t="n">
        <f aca="false">SUM(J52:J57)</f>
        <v>0</v>
      </c>
      <c r="K58" s="159" t="n">
        <f aca="false">SUM(K52:K57)</f>
        <v>0</v>
      </c>
      <c r="L58" s="159" t="n">
        <f aca="false">SUM(L52:L57)</f>
        <v>0</v>
      </c>
      <c r="M58" s="159" t="n">
        <f aca="false">SUM(M52:M57)</f>
        <v>0</v>
      </c>
      <c r="N58" s="159" t="n">
        <f aca="false">SUM(N52:N57)</f>
        <v>0</v>
      </c>
      <c r="O58" s="159" t="n">
        <f aca="false">SUM(O52:O57)</f>
        <v>0</v>
      </c>
      <c r="P58" s="159" t="n">
        <f aca="false">SUM(P52:P57)</f>
        <v>0</v>
      </c>
      <c r="Q58" s="159" t="n">
        <f aca="false">SUM(Q52:Q57)</f>
        <v>0</v>
      </c>
      <c r="R58" s="159" t="n">
        <f aca="false">SUM(R52:R57)</f>
        <v>0</v>
      </c>
      <c r="S58" s="159"/>
      <c r="T58" s="159" t="n">
        <f aca="false">SUM(T52:T57)</f>
        <v>0</v>
      </c>
      <c r="U58" s="159" t="n">
        <f aca="false">SUM(U52:U57)</f>
        <v>0</v>
      </c>
      <c r="V58" s="159" t="n">
        <f aca="false">SUM(V52:V57)</f>
        <v>0</v>
      </c>
      <c r="W58" s="103"/>
      <c r="X58" s="103"/>
      <c r="Y58" s="103"/>
      <c r="Z58" s="103"/>
      <c r="AA58" s="103" t="str">
        <f aca="false">A58</f>
        <v>      Total Items Affecting Intercompany (Corp.) Balance</v>
      </c>
      <c r="AB58" s="103"/>
      <c r="AC58" s="103"/>
      <c r="AD58" s="159" t="n">
        <f aca="false">SUM(AD52:AD57)</f>
        <v>0</v>
      </c>
      <c r="AE58" s="159" t="n">
        <f aca="false">SUM(AE52:AE57)</f>
        <v>0</v>
      </c>
      <c r="AF58" s="159" t="n">
        <f aca="false">SUM(AF52:AF57)</f>
        <v>0</v>
      </c>
      <c r="AG58" s="159" t="n">
        <f aca="false">SUM(AG52:AG57)</f>
        <v>0</v>
      </c>
      <c r="AH58" s="159" t="n">
        <f aca="false">SUM(AH52:AH57)</f>
        <v>0</v>
      </c>
      <c r="AI58" s="159" t="n">
        <f aca="false">SUM(AI52:AI57)</f>
        <v>0</v>
      </c>
      <c r="AJ58" s="159" t="n">
        <f aca="false">SUM(AJ52:AJ57)</f>
        <v>0</v>
      </c>
      <c r="AK58" s="159" t="n">
        <f aca="false">SUM(AK52:AK57)</f>
        <v>0</v>
      </c>
      <c r="AL58" s="159" t="n">
        <f aca="false">SUM(AL52:AL57)</f>
        <v>0</v>
      </c>
      <c r="AM58" s="159" t="n">
        <f aca="false">SUM(AM52:AM57)</f>
        <v>0</v>
      </c>
      <c r="AN58" s="159" t="n">
        <f aca="false">SUM(AN52:AN57)</f>
        <v>0</v>
      </c>
      <c r="AO58" s="159" t="n">
        <f aca="false">SUM(AO52:AO57)</f>
        <v>0</v>
      </c>
      <c r="AP58" s="159" t="n">
        <f aca="false">SUM(AP52:AP57)</f>
        <v>0</v>
      </c>
      <c r="AQ58" s="159" t="n">
        <f aca="false">SUM(AQ52:AQ57)</f>
        <v>0</v>
      </c>
      <c r="AR58" s="159" t="n">
        <f aca="false">SUM(AR52:AR57)</f>
        <v>0</v>
      </c>
      <c r="AS58" s="159"/>
      <c r="AT58" s="159" t="n">
        <f aca="false">SUM(AT52:AT57)</f>
        <v>0</v>
      </c>
      <c r="AU58" s="159" t="n">
        <f aca="false">SUM(AU52:AU57)</f>
        <v>0</v>
      </c>
      <c r="AV58" s="159" t="n">
        <f aca="false">SUM(AV52:AV57)</f>
        <v>0</v>
      </c>
    </row>
    <row r="59" customFormat="false" ht="6" hidden="false" customHeight="true" outlineLevel="0" collapsed="false">
      <c r="A59" s="115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</row>
    <row r="60" customFormat="false" ht="12.75" hidden="false" customHeight="true" outlineLevel="0" collapsed="false">
      <c r="A60" s="196" t="str">
        <f aca="false">CASHFLOW!A178</f>
        <v>INCREASE / (DECREASE) IN INTERCOMPANY CASH</v>
      </c>
      <c r="B60" s="103"/>
      <c r="C60" s="103"/>
      <c r="D60" s="157" t="n">
        <f aca="false">D50+D58</f>
        <v>-268</v>
      </c>
      <c r="E60" s="157" t="n">
        <f aca="false">E50+E58</f>
        <v>-199</v>
      </c>
      <c r="F60" s="157" t="n">
        <f aca="false">F50+F58</f>
        <v>605</v>
      </c>
      <c r="G60" s="157" t="n">
        <f aca="false">G50+G58</f>
        <v>-534</v>
      </c>
      <c r="H60" s="157" t="n">
        <f aca="false">H50+H58</f>
        <v>-195</v>
      </c>
      <c r="I60" s="157" t="n">
        <f aca="false">I50+I58</f>
        <v>3563</v>
      </c>
      <c r="J60" s="157" t="n">
        <f aca="false">J50+J58</f>
        <v>-202</v>
      </c>
      <c r="K60" s="157" t="n">
        <f aca="false">K50+K58</f>
        <v>1822</v>
      </c>
      <c r="L60" s="157" t="n">
        <f aca="false">L50+L58</f>
        <v>603</v>
      </c>
      <c r="M60" s="157" t="n">
        <f aca="false">M50+M58</f>
        <v>-238</v>
      </c>
      <c r="N60" s="157" t="n">
        <f aca="false">N50+N58</f>
        <v>-252</v>
      </c>
      <c r="O60" s="157" t="n">
        <f aca="false">O50+O58</f>
        <v>798</v>
      </c>
      <c r="P60" s="157" t="n">
        <f aca="false">P50+P58</f>
        <v>5503</v>
      </c>
      <c r="Q60" s="157" t="n">
        <f aca="false">Q50+Q58</f>
        <v>2770</v>
      </c>
      <c r="R60" s="157" t="n">
        <f aca="false">R50+R58</f>
        <v>2733</v>
      </c>
      <c r="S60" s="157"/>
      <c r="T60" s="157" t="n">
        <f aca="false">T50+T58</f>
        <v>0</v>
      </c>
      <c r="U60" s="157" t="n">
        <f aca="false">U50+U58</f>
        <v>0</v>
      </c>
      <c r="V60" s="157" t="n">
        <f aca="false">V50+V58</f>
        <v>0</v>
      </c>
      <c r="W60" s="103"/>
      <c r="X60" s="103"/>
      <c r="Y60" s="103"/>
      <c r="Z60" s="103"/>
      <c r="AA60" s="100" t="str">
        <f aca="false">A60</f>
        <v>INCREASE / (DECREASE) IN INTERCOMPANY CASH</v>
      </c>
      <c r="AB60" s="103"/>
      <c r="AC60" s="103"/>
      <c r="AD60" s="157" t="n">
        <f aca="false">AD50+AD58</f>
        <v>31632</v>
      </c>
      <c r="AE60" s="157" t="n">
        <f aca="false">AE50+AE58</f>
        <v>-28897</v>
      </c>
      <c r="AF60" s="157" t="n">
        <f aca="false">AF50+AF58</f>
        <v>7689</v>
      </c>
      <c r="AG60" s="157" t="n">
        <f aca="false">AG50+AG58</f>
        <v>47991</v>
      </c>
      <c r="AH60" s="157" t="n">
        <f aca="false">AH50+AH58</f>
        <v>13540</v>
      </c>
      <c r="AI60" s="157" t="n">
        <f aca="false">AI50+AI58</f>
        <v>-7296</v>
      </c>
      <c r="AJ60" s="157" t="n">
        <f aca="false">AJ50+AJ58</f>
        <v>11903</v>
      </c>
      <c r="AK60" s="157" t="n">
        <f aca="false">AK50+AK58</f>
        <v>9627</v>
      </c>
      <c r="AL60" s="157" t="n">
        <f aca="false">AL50+AL58</f>
        <v>-6003</v>
      </c>
      <c r="AM60" s="157" t="n">
        <f aca="false">AM50+AM58</f>
        <v>-16362</v>
      </c>
      <c r="AN60" s="157" t="n">
        <f aca="false">AN50+AN58</f>
        <v>-21748</v>
      </c>
      <c r="AO60" s="157" t="n">
        <f aca="false">AO50+AO58</f>
        <v>-15098</v>
      </c>
      <c r="AP60" s="157" t="n">
        <f aca="false">AP50+AP58</f>
        <v>26978</v>
      </c>
      <c r="AQ60" s="157" t="n">
        <f aca="false">AQ50+AQ58</f>
        <v>76562</v>
      </c>
      <c r="AR60" s="157" t="n">
        <f aca="false">AR50+AR58</f>
        <v>-49584</v>
      </c>
      <c r="AS60" s="157"/>
      <c r="AT60" s="157" t="n">
        <f aca="false">AT50+AT58</f>
        <v>0</v>
      </c>
      <c r="AU60" s="157" t="n">
        <f aca="false">AU50+AU58</f>
        <v>0</v>
      </c>
      <c r="AV60" s="157" t="n">
        <f aca="false">AV50+AV58</f>
        <v>0</v>
      </c>
    </row>
    <row r="61" customFormat="false" ht="6" hidden="false" customHeight="true" outlineLevel="0" collapsed="false">
      <c r="A61" s="115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</row>
    <row r="62" customFormat="false" ht="12.75" hidden="false" customHeight="true" outlineLevel="0" collapsed="false">
      <c r="A62" s="196" t="str">
        <f aca="false">CASHFLOW!A180</f>
        <v>      Change in Other Obligations</v>
      </c>
      <c r="B62" s="103"/>
      <c r="C62" s="103"/>
      <c r="D62" s="211" t="n">
        <v>0</v>
      </c>
      <c r="E62" s="211" t="n">
        <v>0</v>
      </c>
      <c r="F62" s="211" t="n">
        <v>0</v>
      </c>
      <c r="G62" s="211" t="n">
        <v>0</v>
      </c>
      <c r="H62" s="211" t="n">
        <v>0</v>
      </c>
      <c r="I62" s="211" t="n">
        <v>0</v>
      </c>
      <c r="J62" s="211" t="n">
        <v>0</v>
      </c>
      <c r="K62" s="211" t="n">
        <v>0</v>
      </c>
      <c r="L62" s="211" t="n">
        <v>0</v>
      </c>
      <c r="M62" s="211" t="n">
        <v>0</v>
      </c>
      <c r="N62" s="211" t="n">
        <v>0</v>
      </c>
      <c r="O62" s="211" t="n">
        <v>0</v>
      </c>
      <c r="P62" s="143" t="n">
        <f aca="false">SUM(D62:O62)</f>
        <v>0</v>
      </c>
      <c r="Q62" s="140" t="n">
        <f aca="false">SUM(D62:J62)</f>
        <v>0</v>
      </c>
      <c r="R62" s="143" t="n">
        <f aca="false">P62-Q62</f>
        <v>0</v>
      </c>
      <c r="S62" s="143"/>
      <c r="T62" s="211" t="n">
        <v>0</v>
      </c>
      <c r="U62" s="211" t="n">
        <v>0</v>
      </c>
      <c r="V62" s="159" t="n">
        <f aca="false">T62-U62</f>
        <v>0</v>
      </c>
      <c r="W62" s="103"/>
      <c r="X62" s="103"/>
      <c r="Y62" s="103"/>
      <c r="Z62" s="103"/>
      <c r="AA62" s="100" t="str">
        <f aca="false">A62</f>
        <v>      Change in Other Obligations</v>
      </c>
      <c r="AB62" s="103"/>
      <c r="AC62" s="103"/>
      <c r="AD62" s="159" t="n">
        <f aca="false">CASHFLOW!D180-'CF-Partnership, NNG &amp; 53K'!D62</f>
        <v>-6</v>
      </c>
      <c r="AE62" s="159" t="n">
        <f aca="false">CASHFLOW!E180-'CF-Partnership, NNG &amp; 53K'!E62</f>
        <v>-6</v>
      </c>
      <c r="AF62" s="159" t="n">
        <f aca="false">CASHFLOW!F180-'CF-Partnership, NNG &amp; 53K'!F62</f>
        <v>-7</v>
      </c>
      <c r="AG62" s="159" t="n">
        <f aca="false">CASHFLOW!G180-'CF-Partnership, NNG &amp; 53K'!G62</f>
        <v>-6</v>
      </c>
      <c r="AH62" s="159" t="n">
        <f aca="false">CASHFLOW!H180-'CF-Partnership, NNG &amp; 53K'!H62</f>
        <v>-7</v>
      </c>
      <c r="AI62" s="159" t="n">
        <f aca="false">CASHFLOW!I180-'CF-Partnership, NNG &amp; 53K'!I62</f>
        <v>-6</v>
      </c>
      <c r="AJ62" s="159" t="n">
        <f aca="false">CASHFLOW!J180-'CF-Partnership, NNG &amp; 53K'!J62</f>
        <v>-7</v>
      </c>
      <c r="AK62" s="159" t="n">
        <f aca="false">CASHFLOW!K180-'CF-Partnership, NNG &amp; 53K'!K62</f>
        <v>-6</v>
      </c>
      <c r="AL62" s="159" t="n">
        <f aca="false">CASHFLOW!L180-'CF-Partnership, NNG &amp; 53K'!L62</f>
        <v>-7</v>
      </c>
      <c r="AM62" s="159" t="n">
        <f aca="false">CASHFLOW!M180-'CF-Partnership, NNG &amp; 53K'!M62</f>
        <v>-6</v>
      </c>
      <c r="AN62" s="159" t="n">
        <f aca="false">CASHFLOW!N180-'CF-Partnership, NNG &amp; 53K'!N62</f>
        <v>-7</v>
      </c>
      <c r="AO62" s="159" t="n">
        <f aca="false">CASHFLOW!O180-'CF-Partnership, NNG &amp; 53K'!O62</f>
        <v>-6</v>
      </c>
      <c r="AP62" s="143" t="n">
        <f aca="false">SUM(AD62:AO62)</f>
        <v>-77</v>
      </c>
      <c r="AQ62" s="140" t="n">
        <f aca="false">SUM(AD62:AJ62)</f>
        <v>-45</v>
      </c>
      <c r="AR62" s="143" t="n">
        <f aca="false">AP62-AQ62</f>
        <v>-32</v>
      </c>
      <c r="AS62" s="143"/>
      <c r="AT62" s="211" t="n">
        <v>0</v>
      </c>
      <c r="AU62" s="211" t="n">
        <v>0</v>
      </c>
      <c r="AV62" s="159" t="n">
        <f aca="false">AT62-AU62</f>
        <v>0</v>
      </c>
    </row>
    <row r="63" customFormat="false" ht="6" hidden="false" customHeight="true" outlineLevel="0" collapsed="false">
      <c r="A63" s="115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</row>
    <row r="64" customFormat="false" ht="12.75" hidden="false" customHeight="true" outlineLevel="0" collapsed="false">
      <c r="A64" s="196" t="str">
        <f aca="false">CASHFLOW!A182</f>
        <v>INCREASE / (DECREASE) IN TOTAL OBLIGATIONS</v>
      </c>
      <c r="B64" s="103"/>
      <c r="C64" s="103"/>
      <c r="D64" s="169" t="n">
        <f aca="false">D60+D62</f>
        <v>-268</v>
      </c>
      <c r="E64" s="169" t="n">
        <f aca="false">E60+E62</f>
        <v>-199</v>
      </c>
      <c r="F64" s="169" t="n">
        <f aca="false">F60+F62</f>
        <v>605</v>
      </c>
      <c r="G64" s="169" t="n">
        <f aca="false">G60+G62</f>
        <v>-534</v>
      </c>
      <c r="H64" s="169" t="n">
        <f aca="false">H60+H62</f>
        <v>-195</v>
      </c>
      <c r="I64" s="169" t="n">
        <f aca="false">I60+I62</f>
        <v>3563</v>
      </c>
      <c r="J64" s="169" t="n">
        <f aca="false">J60+J62</f>
        <v>-202</v>
      </c>
      <c r="K64" s="169" t="n">
        <f aca="false">K60+K62</f>
        <v>1822</v>
      </c>
      <c r="L64" s="169" t="n">
        <f aca="false">L60+L62</f>
        <v>603</v>
      </c>
      <c r="M64" s="169" t="n">
        <f aca="false">M60+M62</f>
        <v>-238</v>
      </c>
      <c r="N64" s="169" t="n">
        <f aca="false">N60+N62</f>
        <v>-252</v>
      </c>
      <c r="O64" s="169" t="n">
        <f aca="false">O60+O62</f>
        <v>798</v>
      </c>
      <c r="P64" s="169" t="n">
        <f aca="false">P60+P62</f>
        <v>5503</v>
      </c>
      <c r="Q64" s="169" t="n">
        <f aca="false">Q60+Q62</f>
        <v>2770</v>
      </c>
      <c r="R64" s="169" t="n">
        <f aca="false">R60+R62</f>
        <v>2733</v>
      </c>
      <c r="S64" s="169"/>
      <c r="T64" s="169" t="n">
        <f aca="false">T60+T62</f>
        <v>0</v>
      </c>
      <c r="U64" s="169" t="n">
        <f aca="false">U60+U62</f>
        <v>0</v>
      </c>
      <c r="V64" s="169" t="n">
        <f aca="false">V60+V62</f>
        <v>0</v>
      </c>
      <c r="W64" s="103"/>
      <c r="X64" s="103"/>
      <c r="Y64" s="103"/>
      <c r="Z64" s="103"/>
      <c r="AA64" s="100" t="str">
        <f aca="false">A64</f>
        <v>INCREASE / (DECREASE) IN TOTAL OBLIGATIONS</v>
      </c>
      <c r="AB64" s="103"/>
      <c r="AC64" s="103"/>
      <c r="AD64" s="169" t="n">
        <f aca="false">AD60+AD62</f>
        <v>31626</v>
      </c>
      <c r="AE64" s="169" t="n">
        <f aca="false">AE60+AE62</f>
        <v>-28903</v>
      </c>
      <c r="AF64" s="169" t="n">
        <f aca="false">AF60+AF62</f>
        <v>7682</v>
      </c>
      <c r="AG64" s="169" t="n">
        <f aca="false">AG60+AG62</f>
        <v>47985</v>
      </c>
      <c r="AH64" s="169" t="n">
        <f aca="false">AH60+AH62</f>
        <v>13533</v>
      </c>
      <c r="AI64" s="169" t="n">
        <f aca="false">AI60+AI62</f>
        <v>-7302</v>
      </c>
      <c r="AJ64" s="169" t="n">
        <f aca="false">AJ60+AJ62</f>
        <v>11896</v>
      </c>
      <c r="AK64" s="169" t="n">
        <f aca="false">AK60+AK62</f>
        <v>9621</v>
      </c>
      <c r="AL64" s="169" t="n">
        <f aca="false">AL60+AL62</f>
        <v>-6010</v>
      </c>
      <c r="AM64" s="169" t="n">
        <f aca="false">AM60+AM62</f>
        <v>-16368</v>
      </c>
      <c r="AN64" s="169" t="n">
        <f aca="false">AN60+AN62</f>
        <v>-21755</v>
      </c>
      <c r="AO64" s="169" t="n">
        <f aca="false">AO60+AO62</f>
        <v>-15104</v>
      </c>
      <c r="AP64" s="169" t="n">
        <f aca="false">AP60+AP62</f>
        <v>26901</v>
      </c>
      <c r="AQ64" s="169" t="n">
        <f aca="false">AQ60+AQ62</f>
        <v>76517</v>
      </c>
      <c r="AR64" s="169" t="n">
        <f aca="false">AR60+AR62</f>
        <v>-49616</v>
      </c>
      <c r="AS64" s="169"/>
      <c r="AT64" s="169" t="n">
        <f aca="false">AT60+AT62</f>
        <v>0</v>
      </c>
      <c r="AU64" s="169" t="n">
        <f aca="false">AU60+AU62</f>
        <v>0</v>
      </c>
      <c r="AV64" s="169" t="n">
        <f aca="false">AV60+AV62</f>
        <v>0</v>
      </c>
    </row>
    <row r="65" customFormat="false" ht="12.75" hidden="false" customHeight="true" outlineLevel="0" collapsed="false">
      <c r="A65" s="100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customFormat="false" ht="12.75" hidden="false" customHeight="true" outlineLevel="0" collapsed="false">
      <c r="B66" s="103"/>
      <c r="C66" s="103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03"/>
      <c r="X66" s="103"/>
      <c r="Y66" s="103"/>
      <c r="Z66" s="103"/>
      <c r="AA66" s="202" t="str">
        <f aca="false">CASHFLOW!A184</f>
        <v>      CHECK #</v>
      </c>
      <c r="AD66" s="157" t="n">
        <f aca="false">CASHFLOW!D182-'CF-Partnership, NNG &amp; 53K'!D64-'CF-Partnership, NNG &amp; 53K'!AD64</f>
        <v>0</v>
      </c>
      <c r="AE66" s="157" t="n">
        <f aca="false">CASHFLOW!E182-'CF-Partnership, NNG &amp; 53K'!E64-'CF-Partnership, NNG &amp; 53K'!AE64</f>
        <v>0</v>
      </c>
      <c r="AF66" s="157" t="n">
        <f aca="false">CASHFLOW!F182-'CF-Partnership, NNG &amp; 53K'!F64-'CF-Partnership, NNG &amp; 53K'!AF64</f>
        <v>0</v>
      </c>
      <c r="AG66" s="157" t="n">
        <f aca="false">CASHFLOW!G182-'CF-Partnership, NNG &amp; 53K'!G64-'CF-Partnership, NNG &amp; 53K'!AG64</f>
        <v>0</v>
      </c>
      <c r="AH66" s="157" t="n">
        <f aca="false">CASHFLOW!H182-'CF-Partnership, NNG &amp; 53K'!H64-'CF-Partnership, NNG &amp; 53K'!AH64</f>
        <v>0</v>
      </c>
      <c r="AI66" s="157" t="n">
        <f aca="false">CASHFLOW!I182-'CF-Partnership, NNG &amp; 53K'!I64-'CF-Partnership, NNG &amp; 53K'!AI64</f>
        <v>0</v>
      </c>
      <c r="AJ66" s="157" t="n">
        <f aca="false">CASHFLOW!J182-'CF-Partnership, NNG &amp; 53K'!J64-'CF-Partnership, NNG &amp; 53K'!AJ64</f>
        <v>0</v>
      </c>
      <c r="AK66" s="157" t="n">
        <f aca="false">CASHFLOW!K182-'CF-Partnership, NNG &amp; 53K'!K64-'CF-Partnership, NNG &amp; 53K'!AK64</f>
        <v>0</v>
      </c>
      <c r="AL66" s="157" t="n">
        <f aca="false">CASHFLOW!L182-'CF-Partnership, NNG &amp; 53K'!L64-'CF-Partnership, NNG &amp; 53K'!AL64</f>
        <v>0</v>
      </c>
      <c r="AM66" s="157" t="n">
        <f aca="false">CASHFLOW!M182-'CF-Partnership, NNG &amp; 53K'!M64-'CF-Partnership, NNG &amp; 53K'!AM64</f>
        <v>0</v>
      </c>
      <c r="AN66" s="157" t="n">
        <f aca="false">CASHFLOW!N182-'CF-Partnership, NNG &amp; 53K'!N64-'CF-Partnership, NNG &amp; 53K'!AN64</f>
        <v>0</v>
      </c>
      <c r="AO66" s="157" t="n">
        <f aca="false">CASHFLOW!O182-'CF-Partnership, NNG &amp; 53K'!O64-'CF-Partnership, NNG &amp; 53K'!AO64</f>
        <v>0</v>
      </c>
      <c r="AP66" s="157" t="n">
        <f aca="false">CASHFLOW!P182-'CF-Partnership, NNG &amp; 53K'!P64-'CF-Partnership, NNG &amp; 53K'!AP64</f>
        <v>0</v>
      </c>
      <c r="AQ66" s="157" t="n">
        <f aca="false">CASHFLOW!Q182-'CF-Partnership, NNG &amp; 53K'!Q64-'CF-Partnership, NNG &amp; 53K'!AQ64</f>
        <v>0</v>
      </c>
      <c r="AR66" s="157" t="n">
        <f aca="false">CASHFLOW!R182-'CF-Partnership, NNG &amp; 53K'!R64-'CF-Partnership, NNG &amp; 53K'!AR64</f>
        <v>0</v>
      </c>
      <c r="AT66" s="157"/>
      <c r="AU66" s="157"/>
      <c r="AV66" s="157"/>
    </row>
    <row r="67" customFormat="false" ht="6" hidden="false" customHeight="true" outlineLevel="0" collapsed="false">
      <c r="A67" s="100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customFormat="false" ht="12.75" hidden="false" customHeight="true" outlineLevel="0" collapsed="false">
      <c r="A68" s="100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</sheetData>
  <mergeCells count="8">
    <mergeCell ref="H1:M1"/>
    <mergeCell ref="AH1:AM1"/>
    <mergeCell ref="I2:L2"/>
    <mergeCell ref="AI2:AL2"/>
    <mergeCell ref="I3:L3"/>
    <mergeCell ref="AI3:AL3"/>
    <mergeCell ref="I4:L4"/>
    <mergeCell ref="AI4:AL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1997-02-24T18:47:21Z</dcterms:created>
  <dc:creator>STEVE KLEB</dc:creator>
  <dc:description/>
  <dc:language>en-US</dc:language>
  <cp:lastModifiedBy>skleb</cp:lastModifiedBy>
  <cp:lastPrinted>2001-11-02T12:01:01Z</cp:lastPrinted>
  <dcterms:modified xsi:type="dcterms:W3CDTF">2001-11-02T18:56:28Z</dcterms:modified>
  <cp:revision>0</cp:revision>
  <dc:subject/>
  <dc:title/>
</cp:coreProperties>
</file>