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PL_OFF" sheetId="1" state="visible" r:id="rId3"/>
    <sheet name="NGPL_PEAK" sheetId="2" state="visible" r:id="rId4"/>
    <sheet name="trunk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<sst xmlns="http://schemas.openxmlformats.org/spreadsheetml/2006/main" count="99" uniqueCount="44">
  <si>
    <t xml:space="preserve">INCLUDES GRI TO MARKET AREA</t>
  </si>
  <si>
    <t xml:space="preserve">LA</t>
  </si>
  <si>
    <t xml:space="preserve">Gas Cost</t>
  </si>
  <si>
    <t xml:space="preserve">STX</t>
  </si>
  <si>
    <t xml:space="preserve">TXOK</t>
  </si>
  <si>
    <t xml:space="preserve">Delivered</t>
  </si>
  <si>
    <t xml:space="preserve">Grossed up Volume</t>
  </si>
  <si>
    <t xml:space="preserve">Pipeline</t>
  </si>
  <si>
    <t xml:space="preserve">Comm $</t>
  </si>
  <si>
    <t xml:space="preserve">Fuel%</t>
  </si>
  <si>
    <t xml:space="preserve">Rate</t>
  </si>
  <si>
    <t xml:space="preserve">w/OUT</t>
  </si>
  <si>
    <t xml:space="preserve">W/GRI</t>
  </si>
  <si>
    <t xml:space="preserve">NGPL</t>
  </si>
  <si>
    <t xml:space="preserve">Louisiana</t>
  </si>
  <si>
    <t xml:space="preserve">  Louisiana to Louisiana</t>
  </si>
  <si>
    <t xml:space="preserve">  Texok to Louisiana</t>
  </si>
  <si>
    <t xml:space="preserve">  South Texas to Louisiana</t>
  </si>
  <si>
    <t xml:space="preserve">MARKET</t>
  </si>
  <si>
    <t xml:space="preserve">  Louisiana to Market</t>
  </si>
  <si>
    <t xml:space="preserve">  Texok to Market</t>
  </si>
  <si>
    <t xml:space="preserve">  South Texas to Market</t>
  </si>
  <si>
    <t xml:space="preserve">  Gulf Coast Mainline to Market</t>
  </si>
  <si>
    <t xml:space="preserve">Louisiana to TXOK</t>
  </si>
  <si>
    <t xml:space="preserve">TXOK to TXOK</t>
  </si>
  <si>
    <t xml:space="preserve">STX to TXOK</t>
  </si>
  <si>
    <t xml:space="preserve">  Iowa - Illinois to Market</t>
  </si>
  <si>
    <t xml:space="preserve">  Amarillo to Market</t>
  </si>
  <si>
    <t xml:space="preserve">  Midcontinent to Market</t>
  </si>
  <si>
    <t xml:space="preserve">  Permian to Market</t>
  </si>
  <si>
    <t xml:space="preserve">Comm</t>
  </si>
  <si>
    <t xml:space="preserve">Penzoil contract</t>
  </si>
  <si>
    <t xml:space="preserve">trnk wla</t>
  </si>
  <si>
    <t xml:space="preserve">trnk ela</t>
  </si>
  <si>
    <t xml:space="preserve">trnk stx</t>
  </si>
  <si>
    <t xml:space="preserve">TRUNKLINE</t>
  </si>
  <si>
    <t xml:space="preserve">FIELD</t>
  </si>
  <si>
    <t xml:space="preserve">Field zone to field zone</t>
  </si>
  <si>
    <t xml:space="preserve">field to zone 1A</t>
  </si>
  <si>
    <t xml:space="preserve">field to zone 1b</t>
  </si>
  <si>
    <t xml:space="preserve">field to zone 2</t>
  </si>
  <si>
    <t xml:space="preserve">zone 1A to zone 1A</t>
  </si>
  <si>
    <t xml:space="preserve">zone 1A to zone 1B</t>
  </si>
  <si>
    <t xml:space="preserve">zone 1A to zone 2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</si>
</sst>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%"/>
    <numFmt numFmtId="166" formatCode="0.0000%"/>
    <numFmt numFmtId="167" formatCode="\$#,##0.000;&quot;-$&quot;#,##0.000"/>
    <numFmt numFmtId="168" formatCode="#,##0.000"/>
    <numFmt numFmtId="169" formatCode="_(* #,##0.00_);_(* \(#,##0.00\);_(* \-??_);_(@_)"/>
    <numFmt numFmtId="170" formatCode="_-* #,##0.0000_-;\-* #,##0.0000_-;_-* \-??_-;_-@_-"/>
    <numFmt numFmtId="171" formatCode="[$-409]m/d/yyyy"/>
    <numFmt numFmtId="172" formatCode="_(* #,##0_);_(* \(#,##0\);_(* \-??_);_(@_)"/>
    <numFmt numFmtId="173" formatCode="_(* #,##0.0000_);_(* \(#,##0.0000\);_(* \-??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42"/>
    <col collapsed="false" customWidth="true" hidden="false" outlineLevel="0" max="4" min="4" style="0" width="10.41"/>
    <col collapsed="false" customWidth="true" hidden="false" outlineLevel="0" max="7" min="7" style="0" width="11.56"/>
  </cols>
  <sheetData>
    <row r="1" customFormat="false" ht="12.75" hidden="false" customHeight="false" outlineLevel="0" collapsed="false">
      <c r="A1" s="1" t="s">
        <v>0</v>
      </c>
      <c r="B1" s="0" t="s">
        <v>1</v>
      </c>
      <c r="C1" s="2" t="s">
        <v>2</v>
      </c>
      <c r="D1" s="3" t="n">
        <v>5.37</v>
      </c>
      <c r="E1" s="4" t="n">
        <f aca="false">D1*0.017</f>
        <v>0.09129</v>
      </c>
      <c r="I1" s="0" t="n">
        <v>5</v>
      </c>
    </row>
    <row r="2" customFormat="false" ht="12.75" hidden="false" customHeight="false" outlineLevel="0" collapsed="false">
      <c r="B2" s="5" t="s">
        <v>3</v>
      </c>
      <c r="D2" s="3" t="n">
        <v>5.29</v>
      </c>
      <c r="H2" s="0" t="n">
        <f aca="false">5-0.06</f>
        <v>4.94</v>
      </c>
      <c r="I2" s="0" t="n">
        <f aca="false">0.11+0.0075</f>
        <v>0.1175</v>
      </c>
    </row>
    <row r="3" customFormat="false" ht="12.75" hidden="false" customHeight="false" outlineLevel="0" collapsed="false">
      <c r="B3" s="0" t="s">
        <v>4</v>
      </c>
      <c r="D3" s="3" t="n">
        <v>5.34</v>
      </c>
      <c r="I3" s="0" t="n">
        <f aca="false">I1+I2</f>
        <v>5.1175</v>
      </c>
    </row>
    <row r="4" customFormat="false" ht="25.5" hidden="false" customHeight="false" outlineLevel="0" collapsed="false">
      <c r="A4" s="6" t="n">
        <f aca="true">NOW()</f>
        <v>45926.9533231956</v>
      </c>
      <c r="B4" s="5"/>
      <c r="C4" s="1"/>
      <c r="E4" s="7" t="s">
        <v>5</v>
      </c>
      <c r="F4" s="7"/>
      <c r="G4" s="8" t="s">
        <v>6</v>
      </c>
    </row>
    <row r="5" customFormat="false" ht="13.5" hidden="false" customHeight="false" outlineLevel="0" collapsed="false">
      <c r="A5" s="9" t="s">
        <v>7</v>
      </c>
      <c r="B5" s="10" t="s">
        <v>8</v>
      </c>
      <c r="C5" s="11" t="s">
        <v>9</v>
      </c>
      <c r="D5" s="12" t="s">
        <v>10</v>
      </c>
      <c r="E5" s="12" t="s">
        <v>11</v>
      </c>
      <c r="F5" s="12" t="s">
        <v>12</v>
      </c>
      <c r="G5" s="13" t="n">
        <v>9000</v>
      </c>
    </row>
    <row r="6" customFormat="false" ht="12.75" hidden="false" customHeight="false" outlineLevel="0" collapsed="false">
      <c r="A6" s="14" t="s">
        <v>13</v>
      </c>
      <c r="C6" s="1"/>
      <c r="F6" s="0" t="n">
        <v>0.0075</v>
      </c>
    </row>
    <row r="7" customFormat="false" ht="12.75" hidden="false" customHeight="false" outlineLevel="0" collapsed="false">
      <c r="A7" s="14" t="s">
        <v>14</v>
      </c>
      <c r="B7" s="5"/>
      <c r="C7" s="1"/>
      <c r="J7" s="0" t="n">
        <v>5.11</v>
      </c>
      <c r="K7" s="0" t="n">
        <v>5.195</v>
      </c>
    </row>
    <row r="8" customFormat="false" ht="12.75" hidden="false" customHeight="false" outlineLevel="0" collapsed="false">
      <c r="A8" s="15" t="s">
        <v>15</v>
      </c>
      <c r="B8" s="16" t="n">
        <f aca="false">0.0003+0.0022</f>
        <v>0.0025</v>
      </c>
      <c r="C8" s="17" t="n">
        <v>0.011</v>
      </c>
      <c r="D8" s="5" t="n">
        <f aca="false">D$1/(1-$C8)+$B$8-D$1</f>
        <v>0.0622269969666336</v>
      </c>
      <c r="E8" s="18" t="n">
        <f aca="false">D8+$D$1</f>
        <v>5.43222699696663</v>
      </c>
      <c r="F8" s="19" t="n">
        <f aca="false">E8+$F$6</f>
        <v>5.43972699696663</v>
      </c>
      <c r="G8" s="20" t="n">
        <f aca="false">$G$5/(1-C8)</f>
        <v>9100.10111223458</v>
      </c>
      <c r="J8" s="0" t="n">
        <v>5.275</v>
      </c>
      <c r="K8" s="0" t="n">
        <v>5.21</v>
      </c>
    </row>
    <row r="9" customFormat="false" ht="12.75" hidden="false" customHeight="false" outlineLevel="0" collapsed="false">
      <c r="A9" s="15" t="s">
        <v>16</v>
      </c>
      <c r="B9" s="16" t="n">
        <f aca="false">0.0015+0.0022</f>
        <v>0.0037</v>
      </c>
      <c r="C9" s="17" t="n">
        <v>0.0196</v>
      </c>
      <c r="D9" s="5" t="n">
        <f aca="false">D$3/(1-$C9)+$B$9-D$1</f>
        <v>0.0804564259485918</v>
      </c>
      <c r="E9" s="21" t="n">
        <f aca="false">D9+$D$3</f>
        <v>5.42045642594859</v>
      </c>
      <c r="F9" s="19" t="n">
        <f aca="false">E9+$F$6</f>
        <v>5.42795642594859</v>
      </c>
      <c r="G9" s="20" t="n">
        <f aca="false">$G$5/(1-C9)</f>
        <v>9179.92656058752</v>
      </c>
      <c r="J9" s="0" t="n">
        <f aca="false">AVERAGE(J7:J8)</f>
        <v>5.1925</v>
      </c>
      <c r="K9" s="0" t="n">
        <f aca="false">AVERAGE(K7:K8)</f>
        <v>5.2025</v>
      </c>
    </row>
    <row r="10" customFormat="false" ht="12.75" hidden="false" customHeight="false" outlineLevel="0" collapsed="false">
      <c r="A10" s="15" t="s">
        <v>17</v>
      </c>
      <c r="B10" s="16" t="n">
        <f aca="false">0.0018+0.0022</f>
        <v>0.004</v>
      </c>
      <c r="C10" s="17" t="n">
        <v>0.0226</v>
      </c>
      <c r="D10" s="5" t="n">
        <f aca="false">D$2/(1-$C10)+$B$10-D$2</f>
        <v>0.12631839574381</v>
      </c>
      <c r="E10" s="21" t="n">
        <f aca="false">D10+$D$2</f>
        <v>5.41631839574381</v>
      </c>
      <c r="F10" s="19" t="n">
        <f aca="false">E10+$F$6</f>
        <v>5.42381839574381</v>
      </c>
      <c r="G10" s="20" t="n">
        <f aca="false">$G$5/(1-C10)</f>
        <v>9208.10313075506</v>
      </c>
    </row>
    <row r="11" customFormat="false" ht="12.75" hidden="false" customHeight="false" outlineLevel="0" collapsed="false">
      <c r="A11" s="22" t="s">
        <v>18</v>
      </c>
      <c r="B11" s="16"/>
      <c r="C11" s="17"/>
      <c r="D11" s="5"/>
      <c r="E11" s="18"/>
      <c r="F11" s="19"/>
      <c r="G11" s="20"/>
    </row>
    <row r="12" customFormat="false" ht="12.75" hidden="false" customHeight="false" outlineLevel="0" collapsed="false">
      <c r="A12" s="15" t="s">
        <v>19</v>
      </c>
      <c r="B12" s="16" t="n">
        <f aca="false">0.0022+0.0075+0.0045</f>
        <v>0.0142</v>
      </c>
      <c r="C12" s="17" t="n">
        <v>0.0326</v>
      </c>
      <c r="D12" s="5" t="n">
        <f aca="false">D$1/(1-$C12)+$B$12-D$1</f>
        <v>0.19516133967335</v>
      </c>
      <c r="E12" s="18" t="n">
        <f aca="false">D12+$D$1</f>
        <v>5.56516133967335</v>
      </c>
      <c r="F12" s="19"/>
      <c r="G12" s="20" t="n">
        <f aca="false">$G$5/(1-C12)</f>
        <v>9303.28716146372</v>
      </c>
    </row>
    <row r="13" customFormat="false" ht="12.75" hidden="false" customHeight="false" outlineLevel="0" collapsed="false">
      <c r="A13" s="15" t="s">
        <v>20</v>
      </c>
      <c r="B13" s="16" t="n">
        <f aca="false">0.0037+0.0022+0.0075</f>
        <v>0.0134</v>
      </c>
      <c r="C13" s="17" t="n">
        <v>0.038</v>
      </c>
      <c r="D13" s="5" t="n">
        <f aca="false">D$3/(1-$C13)+$B$13-D$3</f>
        <v>0.224335550935551</v>
      </c>
      <c r="E13" s="21" t="n">
        <f aca="false">D13+$D$3</f>
        <v>5.56433555093555</v>
      </c>
      <c r="F13" s="19"/>
      <c r="G13" s="20" t="n">
        <f aca="false">$G$5/(1-C13)</f>
        <v>9355.50935550936</v>
      </c>
      <c r="H13" s="0" t="n">
        <f aca="false">0.1325-0.255</f>
        <v>-0.1225</v>
      </c>
    </row>
    <row r="14" customFormat="false" ht="12.75" hidden="false" customHeight="false" outlineLevel="0" collapsed="false">
      <c r="A14" s="15" t="s">
        <v>21</v>
      </c>
      <c r="B14" s="16" t="n">
        <f aca="false">0.0048+0.0022+0.0075</f>
        <v>0.0145</v>
      </c>
      <c r="C14" s="17" t="n">
        <v>0.0446</v>
      </c>
      <c r="D14" s="5" t="n">
        <f aca="false">D$2/(1-$C14)+$B$14-D$2</f>
        <v>0.261447875235503</v>
      </c>
      <c r="E14" s="21" t="n">
        <f aca="false">D14+$D$2</f>
        <v>5.5514478752355</v>
      </c>
      <c r="F14" s="19"/>
      <c r="G14" s="20" t="n">
        <f aca="false">$G$5/(1-C14)</f>
        <v>9420.13816202638</v>
      </c>
      <c r="H14" s="19" t="n">
        <f aca="false">D14-0.16</f>
        <v>0.101447875235503</v>
      </c>
    </row>
    <row r="15" customFormat="false" ht="12.75" hidden="false" customHeight="false" outlineLevel="0" collapsed="false">
      <c r="A15" s="15" t="s">
        <v>22</v>
      </c>
      <c r="B15" s="16" t="n">
        <v>0.0189</v>
      </c>
      <c r="C15" s="17" t="n">
        <v>0.0303</v>
      </c>
      <c r="D15" s="5" t="n">
        <f aca="false">D$1/(1-$C15)+$B$15-D$1</f>
        <v>0.186695194390018</v>
      </c>
      <c r="E15" s="18" t="n">
        <f aca="false">D15+$D$1</f>
        <v>5.55669519439002</v>
      </c>
      <c r="F15" s="19"/>
      <c r="G15" s="20" t="n">
        <f aca="false">$G$5/(1-C15)</f>
        <v>9281.22099618439</v>
      </c>
    </row>
    <row r="16" customFormat="false" ht="12.75" hidden="false" customHeight="false" outlineLevel="0" collapsed="false">
      <c r="A16" s="22" t="s">
        <v>4</v>
      </c>
      <c r="B16" s="16"/>
      <c r="C16" s="17"/>
      <c r="D16" s="5"/>
      <c r="E16" s="18"/>
      <c r="F16" s="19"/>
      <c r="G16" s="20"/>
    </row>
    <row r="17" customFormat="false" ht="12.75" hidden="false" customHeight="false" outlineLevel="0" collapsed="false">
      <c r="A17" s="15" t="s">
        <v>23</v>
      </c>
      <c r="B17" s="16" t="n">
        <f aca="false">0.0006+0.0022</f>
        <v>0.0028</v>
      </c>
      <c r="C17" s="17" t="n">
        <v>0.011</v>
      </c>
      <c r="D17" s="5" t="n">
        <f aca="false">D$1/(1-$C17)+$B$17-D$1</f>
        <v>0.0625269969666329</v>
      </c>
      <c r="E17" s="18" t="n">
        <f aca="false">D17+$D$1</f>
        <v>5.43252699696663</v>
      </c>
      <c r="F17" s="19" t="n">
        <f aca="false">E17+$F$6</f>
        <v>5.44002699696663</v>
      </c>
      <c r="G17" s="20" t="n">
        <f aca="false">$G$5/(1-C17)</f>
        <v>9100.10111223458</v>
      </c>
    </row>
    <row r="18" customFormat="false" ht="12.75" hidden="false" customHeight="false" outlineLevel="0" collapsed="false">
      <c r="A18" s="15" t="s">
        <v>24</v>
      </c>
      <c r="B18" s="16" t="n">
        <f aca="false">0.0002+0.0022</f>
        <v>0.0024</v>
      </c>
      <c r="C18" s="17" t="n">
        <v>0.016</v>
      </c>
      <c r="D18" s="5" t="n">
        <f aca="false">D$3/(1-$C18)+$B$17-D$3</f>
        <v>0.0896292682926827</v>
      </c>
      <c r="E18" s="18" t="n">
        <f aca="false">D18+$D$1</f>
        <v>5.45962926829268</v>
      </c>
      <c r="F18" s="19" t="n">
        <f aca="false">E18+$F$6</f>
        <v>5.46712926829268</v>
      </c>
      <c r="G18" s="20" t="n">
        <f aca="false">$G$5/(1-C18)</f>
        <v>9146.34146341463</v>
      </c>
    </row>
    <row r="19" customFormat="false" ht="12.75" hidden="false" customHeight="false" outlineLevel="0" collapsed="false">
      <c r="A19" s="15" t="s">
        <v>25</v>
      </c>
      <c r="B19" s="16" t="n">
        <f aca="false">0.0011+0.0022</f>
        <v>0.0033</v>
      </c>
      <c r="C19" s="17" t="n">
        <v>0.0226</v>
      </c>
      <c r="D19" s="5" t="n">
        <f aca="false">D$2/(1-$C19)+$B$17-D$2</f>
        <v>0.12511839574381</v>
      </c>
      <c r="E19" s="18" t="n">
        <f aca="false">D19+$D$1</f>
        <v>5.49511839574381</v>
      </c>
      <c r="F19" s="19" t="n">
        <f aca="false">E19+$F$6</f>
        <v>5.50261839574381</v>
      </c>
      <c r="G19" s="20" t="n">
        <f aca="false">$G$5/(1-C19)</f>
        <v>9208.10313075506</v>
      </c>
    </row>
    <row r="20" customFormat="false" ht="12.75" hidden="false" customHeight="false" outlineLevel="0" collapsed="false">
      <c r="A20" s="15"/>
      <c r="B20" s="16"/>
      <c r="C20" s="17"/>
      <c r="D20" s="5"/>
    </row>
    <row r="21" customFormat="false" ht="12.75" hidden="false" customHeight="false" outlineLevel="0" collapsed="false">
      <c r="A21" s="15" t="s">
        <v>26</v>
      </c>
      <c r="B21" s="5" t="n">
        <v>0.0118</v>
      </c>
      <c r="C21" s="1" t="n">
        <v>0.0181</v>
      </c>
      <c r="D21" s="5" t="n">
        <f aca="false">D$1/(1-$C21)+$B$21-D$1</f>
        <v>0.110788695386495</v>
      </c>
    </row>
    <row r="22" customFormat="false" ht="12.75" hidden="false" customHeight="false" outlineLevel="0" collapsed="false">
      <c r="A22" s="15" t="s">
        <v>27</v>
      </c>
      <c r="B22" s="16" t="n">
        <v>0.0173</v>
      </c>
      <c r="C22" s="17" t="n">
        <v>0.0319</v>
      </c>
      <c r="D22" s="5" t="n">
        <f aca="false">D$1/(1-$C22)+$B$22-D$1</f>
        <v>0.194247629377131</v>
      </c>
    </row>
    <row r="23" customFormat="false" ht="12.75" hidden="false" customHeight="false" outlineLevel="0" collapsed="false">
      <c r="A23" s="15" t="s">
        <v>28</v>
      </c>
      <c r="B23" s="16" t="n">
        <v>0.0243</v>
      </c>
      <c r="C23" s="17" t="n">
        <v>0.0452</v>
      </c>
      <c r="D23" s="5" t="n">
        <f aca="false">D$1/(1-$C23)+$B$23-D$1</f>
        <v>0.278514495182238</v>
      </c>
    </row>
    <row r="24" customFormat="false" ht="12.75" hidden="false" customHeight="false" outlineLevel="0" collapsed="false">
      <c r="A24" s="15" t="s">
        <v>29</v>
      </c>
      <c r="B24" s="16" t="n">
        <v>0.0303</v>
      </c>
      <c r="C24" s="17" t="n">
        <v>0.0629</v>
      </c>
      <c r="D24" s="5" t="n">
        <f aca="false">D$1/(1-$C24)+$B$24-D$1</f>
        <v>0.390744989862341</v>
      </c>
      <c r="H24" s="0" t="n">
        <f aca="false">0.007*4.89+0.0009</f>
        <v>0.03513</v>
      </c>
    </row>
    <row r="26" customFormat="false" ht="12.75" hidden="false" customHeight="false" outlineLevel="0" collapsed="false">
      <c r="B26" s="0" t="s">
        <v>30</v>
      </c>
    </row>
    <row r="27" customFormat="false" ht="12.75" hidden="false" customHeight="false" outlineLevel="0" collapsed="false">
      <c r="A27" s="0" t="s">
        <v>31</v>
      </c>
      <c r="B27" s="0" t="n">
        <v>0.0004</v>
      </c>
      <c r="G27" s="0" t="n">
        <v>92000</v>
      </c>
      <c r="H27" s="0" t="n">
        <v>5.25</v>
      </c>
      <c r="I27" s="0" t="n">
        <f aca="false">G27*H27</f>
        <v>483000</v>
      </c>
    </row>
    <row r="28" customFormat="false" ht="12.75" hidden="false" customHeight="false" outlineLevel="0" collapsed="false">
      <c r="G28" s="0" t="n">
        <v>35000</v>
      </c>
      <c r="H28" s="0" t="n">
        <v>5.266</v>
      </c>
      <c r="I28" s="0" t="n">
        <f aca="false">G28*H28</f>
        <v>184310</v>
      </c>
    </row>
    <row r="29" customFormat="false" ht="12.75" hidden="false" customHeight="false" outlineLevel="0" collapsed="false">
      <c r="B29" s="0" t="n">
        <f aca="false">5.4*0.0086</f>
        <v>0.04644</v>
      </c>
      <c r="E29" s="0" t="n">
        <f aca="false">0.86/100</f>
        <v>0.0086</v>
      </c>
      <c r="G29" s="0" t="n">
        <f aca="false">SUM(G27:G28)</f>
        <v>127000</v>
      </c>
      <c r="I29" s="0" t="n">
        <f aca="false">SUM(I27:I28)</f>
        <v>667310</v>
      </c>
    </row>
    <row r="30" customFormat="false" ht="12.75" hidden="false" customHeight="false" outlineLevel="0" collapsed="false">
      <c r="B30" s="0" t="n">
        <v>0.0015</v>
      </c>
      <c r="H30" s="0" t="n">
        <f aca="false">I29/G29</f>
        <v>5.2544094488189</v>
      </c>
    </row>
    <row r="31" customFormat="false" ht="12.75" hidden="false" customHeight="false" outlineLevel="0" collapsed="false">
      <c r="B31" s="0" t="n">
        <f aca="false">SUM(B29:B30)</f>
        <v>0.04794</v>
      </c>
    </row>
  </sheetData>
  <mergeCells count="1"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42"/>
    <col collapsed="false" customWidth="true" hidden="false" outlineLevel="0" max="4" min="4" style="0" width="10.41"/>
    <col collapsed="false" customWidth="true" hidden="false" outlineLevel="0" max="7" min="7" style="0" width="11.56"/>
  </cols>
  <sheetData>
    <row r="1" customFormat="false" ht="12.75" hidden="false" customHeight="false" outlineLevel="0" collapsed="false">
      <c r="A1" s="1" t="s">
        <v>0</v>
      </c>
      <c r="B1" s="0" t="s">
        <v>1</v>
      </c>
      <c r="C1" s="2" t="s">
        <v>2</v>
      </c>
      <c r="D1" s="3" t="n">
        <v>6.36</v>
      </c>
      <c r="E1" s="4" t="n">
        <f aca="false">D1*0.017</f>
        <v>0.10812</v>
      </c>
      <c r="I1" s="0" t="n">
        <v>5</v>
      </c>
    </row>
    <row r="2" customFormat="false" ht="12.75" hidden="false" customHeight="false" outlineLevel="0" collapsed="false">
      <c r="B2" s="5" t="s">
        <v>3</v>
      </c>
      <c r="D2" s="3" t="n">
        <v>6.32</v>
      </c>
      <c r="H2" s="0" t="n">
        <f aca="false">5-0.06</f>
        <v>4.94</v>
      </c>
      <c r="I2" s="0" t="n">
        <f aca="false">0.11+0.0075</f>
        <v>0.1175</v>
      </c>
    </row>
    <row r="3" customFormat="false" ht="12.75" hidden="false" customHeight="false" outlineLevel="0" collapsed="false">
      <c r="B3" s="0" t="s">
        <v>4</v>
      </c>
      <c r="D3" s="3" t="n">
        <v>6.36</v>
      </c>
      <c r="I3" s="0" t="n">
        <f aca="false">I1+I2</f>
        <v>5.1175</v>
      </c>
    </row>
    <row r="4" customFormat="false" ht="25.5" hidden="false" customHeight="false" outlineLevel="0" collapsed="false">
      <c r="A4" s="6" t="n">
        <f aca="true">NOW()</f>
        <v>45926.9533232139</v>
      </c>
      <c r="B4" s="5"/>
      <c r="C4" s="1"/>
      <c r="E4" s="7" t="s">
        <v>5</v>
      </c>
      <c r="F4" s="7"/>
      <c r="G4" s="8" t="s">
        <v>6</v>
      </c>
    </row>
    <row r="5" customFormat="false" ht="13.5" hidden="false" customHeight="false" outlineLevel="0" collapsed="false">
      <c r="A5" s="9" t="s">
        <v>7</v>
      </c>
      <c r="B5" s="10" t="s">
        <v>8</v>
      </c>
      <c r="C5" s="11" t="s">
        <v>9</v>
      </c>
      <c r="D5" s="12" t="s">
        <v>10</v>
      </c>
      <c r="E5" s="12" t="s">
        <v>11</v>
      </c>
      <c r="F5" s="12" t="s">
        <v>12</v>
      </c>
      <c r="G5" s="13" t="n">
        <v>10000</v>
      </c>
    </row>
    <row r="6" customFormat="false" ht="12.75" hidden="false" customHeight="false" outlineLevel="0" collapsed="false">
      <c r="A6" s="14" t="s">
        <v>13</v>
      </c>
      <c r="C6" s="1"/>
      <c r="F6" s="0" t="n">
        <v>0.0075</v>
      </c>
    </row>
    <row r="7" customFormat="false" ht="12.75" hidden="false" customHeight="false" outlineLevel="0" collapsed="false">
      <c r="A7" s="14" t="s">
        <v>14</v>
      </c>
      <c r="B7" s="5"/>
      <c r="C7" s="1"/>
      <c r="J7" s="0" t="n">
        <v>5.11</v>
      </c>
      <c r="K7" s="0" t="n">
        <v>5.195</v>
      </c>
    </row>
    <row r="8" customFormat="false" ht="12.75" hidden="false" customHeight="false" outlineLevel="0" collapsed="false">
      <c r="A8" s="15" t="s">
        <v>15</v>
      </c>
      <c r="B8" s="16" t="n">
        <f aca="false">0.0003+0.0022</f>
        <v>0.0025</v>
      </c>
      <c r="C8" s="17" t="n">
        <v>0.011</v>
      </c>
      <c r="D8" s="5" t="n">
        <f aca="false">D$1/(1-$C8)+$B$8-D$1</f>
        <v>0.0732381193124372</v>
      </c>
      <c r="E8" s="18" t="n">
        <f aca="false">D8+$D$1</f>
        <v>6.43323811931244</v>
      </c>
      <c r="F8" s="19" t="n">
        <f aca="false">E8+$F$6</f>
        <v>6.44073811931244</v>
      </c>
      <c r="G8" s="20" t="n">
        <f aca="false">$G$5/(1-C8)</f>
        <v>10111.2234580384</v>
      </c>
      <c r="J8" s="0" t="n">
        <v>5.275</v>
      </c>
      <c r="K8" s="0" t="n">
        <v>5.21</v>
      </c>
    </row>
    <row r="9" customFormat="false" ht="12.75" hidden="false" customHeight="false" outlineLevel="0" collapsed="false">
      <c r="A9" s="15" t="s">
        <v>16</v>
      </c>
      <c r="B9" s="16" t="n">
        <f aca="false">0.0015+0.0022</f>
        <v>0.0037</v>
      </c>
      <c r="C9" s="17" t="n">
        <v>0.0196</v>
      </c>
      <c r="D9" s="5" t="n">
        <f aca="false">D$3/(1-$C9)+$B$9-D$1</f>
        <v>0.130848102815177</v>
      </c>
      <c r="E9" s="21" t="n">
        <f aca="false">D9+$D$3</f>
        <v>6.49084810281518</v>
      </c>
      <c r="F9" s="19" t="n">
        <f aca="false">E9+$F$6</f>
        <v>6.49834810281518</v>
      </c>
      <c r="G9" s="20" t="n">
        <f aca="false">$G$5/(1-C9)</f>
        <v>10199.9184006528</v>
      </c>
      <c r="J9" s="0" t="n">
        <f aca="false">AVERAGE(J7:J8)</f>
        <v>5.1925</v>
      </c>
      <c r="K9" s="0" t="n">
        <f aca="false">AVERAGE(K7:K8)</f>
        <v>5.2025</v>
      </c>
    </row>
    <row r="10" customFormat="false" ht="12.75" hidden="false" customHeight="false" outlineLevel="0" collapsed="false">
      <c r="A10" s="15" t="s">
        <v>17</v>
      </c>
      <c r="B10" s="16" t="n">
        <f aca="false">0.0018+0.0022</f>
        <v>0.004</v>
      </c>
      <c r="C10" s="17" t="n">
        <v>0.0226</v>
      </c>
      <c r="D10" s="5" t="n">
        <f aca="false">D$2/(1-$C10)+$B$10-D$2</f>
        <v>0.150134642930222</v>
      </c>
      <c r="E10" s="21" t="n">
        <f aca="false">D10+$D$2</f>
        <v>6.47013464293022</v>
      </c>
      <c r="F10" s="19" t="n">
        <f aca="false">E10+$F$6</f>
        <v>6.47763464293022</v>
      </c>
      <c r="G10" s="20" t="n">
        <f aca="false">$G$5/(1-C10)</f>
        <v>10231.225700839</v>
      </c>
    </row>
    <row r="11" customFormat="false" ht="12.75" hidden="false" customHeight="false" outlineLevel="0" collapsed="false">
      <c r="A11" s="22" t="s">
        <v>18</v>
      </c>
      <c r="B11" s="16"/>
      <c r="C11" s="17"/>
      <c r="D11" s="5"/>
      <c r="E11" s="18"/>
      <c r="F11" s="19"/>
      <c r="G11" s="20"/>
    </row>
    <row r="12" customFormat="false" ht="12.75" hidden="false" customHeight="false" outlineLevel="0" collapsed="false">
      <c r="A12" s="15" t="s">
        <v>19</v>
      </c>
      <c r="B12" s="16" t="n">
        <f aca="false">0.0022+0.0075+0.0193</f>
        <v>0.029</v>
      </c>
      <c r="C12" s="17" t="n">
        <v>0.0326</v>
      </c>
      <c r="D12" s="5" t="n">
        <f aca="false">D$1/(1-$C12)+$B$12-D$1</f>
        <v>0.24332292743436</v>
      </c>
      <c r="E12" s="18" t="n">
        <f aca="false">D12+$D$1</f>
        <v>6.60332292743436</v>
      </c>
      <c r="F12" s="19"/>
      <c r="G12" s="20" t="n">
        <f aca="false">$G$5/(1-C12)</f>
        <v>10336.9857349597</v>
      </c>
    </row>
    <row r="13" customFormat="false" ht="12.75" hidden="false" customHeight="false" outlineLevel="0" collapsed="false">
      <c r="A13" s="15" t="s">
        <v>20</v>
      </c>
      <c r="B13" s="16" t="n">
        <f aca="false">0.0159+0.0022+0.0075</f>
        <v>0.0256</v>
      </c>
      <c r="C13" s="17" t="n">
        <v>0.038</v>
      </c>
      <c r="D13" s="5" t="n">
        <f aca="false">D$3/(1-$C13)+$B$13-D$3</f>
        <v>0.276826611226611</v>
      </c>
      <c r="E13" s="21" t="n">
        <f aca="false">D13+$D$3</f>
        <v>6.63682661122661</v>
      </c>
      <c r="F13" s="19"/>
      <c r="G13" s="20" t="n">
        <f aca="false">$G$5/(1-C13)</f>
        <v>10395.0103950104</v>
      </c>
    </row>
    <row r="14" customFormat="false" ht="12.75" hidden="false" customHeight="false" outlineLevel="0" collapsed="false">
      <c r="A14" s="15" t="s">
        <v>21</v>
      </c>
      <c r="B14" s="16" t="n">
        <f aca="false">0.0201+0.0022+0.0075</f>
        <v>0.0298</v>
      </c>
      <c r="C14" s="17" t="n">
        <v>0.0446</v>
      </c>
      <c r="D14" s="5" t="n">
        <f aca="false">D$2/(1-$C14)+$B$14-D$2</f>
        <v>0.324830353778522</v>
      </c>
      <c r="E14" s="21" t="n">
        <f aca="false">D14+$D$2</f>
        <v>6.64483035377852</v>
      </c>
      <c r="F14" s="19"/>
      <c r="G14" s="20" t="n">
        <f aca="false">$G$5/(1-C14)</f>
        <v>10466.8201800293</v>
      </c>
      <c r="H14" s="21" t="n">
        <f aca="false">D14-0.13</f>
        <v>0.194830353778522</v>
      </c>
    </row>
    <row r="15" customFormat="false" ht="12.75" hidden="false" customHeight="false" outlineLevel="0" collapsed="false">
      <c r="A15" s="15" t="s">
        <v>22</v>
      </c>
      <c r="B15" s="16" t="n">
        <f aca="false">0.0092+0.0075+0.0022</f>
        <v>0.0189</v>
      </c>
      <c r="C15" s="17" t="n">
        <v>0.0303</v>
      </c>
      <c r="D15" s="5" t="n">
        <f aca="false">D$1/(1-$C15)+$B$15-D$1</f>
        <v>0.217629503970301</v>
      </c>
      <c r="E15" s="18" t="n">
        <f aca="false">D15+$D$1</f>
        <v>6.5776295039703</v>
      </c>
      <c r="F15" s="19"/>
      <c r="G15" s="20" t="n">
        <f aca="false">$G$5/(1-C15)</f>
        <v>10312.4677735382</v>
      </c>
    </row>
    <row r="16" customFormat="false" ht="12.75" hidden="false" customHeight="false" outlineLevel="0" collapsed="false">
      <c r="A16" s="22" t="s">
        <v>4</v>
      </c>
      <c r="B16" s="16"/>
      <c r="C16" s="17"/>
      <c r="D16" s="5"/>
      <c r="E16" s="18"/>
      <c r="F16" s="19"/>
      <c r="G16" s="20"/>
    </row>
    <row r="17" customFormat="false" ht="12.75" hidden="false" customHeight="false" outlineLevel="0" collapsed="false">
      <c r="A17" s="15" t="s">
        <v>23</v>
      </c>
      <c r="B17" s="16" t="n">
        <f aca="false">0.0006+0.0022</f>
        <v>0.0028</v>
      </c>
      <c r="C17" s="17" t="n">
        <v>0.011</v>
      </c>
      <c r="D17" s="5" t="n">
        <f aca="false">D$1/(1-$C17)+$B$17-D$1</f>
        <v>0.0735381193124365</v>
      </c>
      <c r="E17" s="18" t="n">
        <f aca="false">D17+$D$1</f>
        <v>6.43353811931244</v>
      </c>
      <c r="F17" s="19" t="n">
        <f aca="false">E17+$F$6</f>
        <v>6.44103811931244</v>
      </c>
      <c r="G17" s="20" t="n">
        <f aca="false">$G$5/(1-C17)</f>
        <v>10111.2234580384</v>
      </c>
    </row>
    <row r="18" customFormat="false" ht="12.75" hidden="false" customHeight="false" outlineLevel="0" collapsed="false">
      <c r="A18" s="15" t="s">
        <v>24</v>
      </c>
      <c r="B18" s="16" t="n">
        <f aca="false">0.0002+0.0022</f>
        <v>0.0024</v>
      </c>
      <c r="C18" s="17" t="n">
        <v>0.016</v>
      </c>
      <c r="D18" s="5" t="n">
        <f aca="false">D$3/(1-$C18)+$B$17-D$3</f>
        <v>0.106214634146341</v>
      </c>
      <c r="E18" s="21" t="n">
        <f aca="false">D18+$D$3</f>
        <v>6.46621463414634</v>
      </c>
      <c r="F18" s="19" t="n">
        <f aca="false">E18+$F$6</f>
        <v>6.47371463414634</v>
      </c>
      <c r="G18" s="20" t="n">
        <f aca="false">$G$5/(1-C18)</f>
        <v>10162.6016260163</v>
      </c>
    </row>
    <row r="19" customFormat="false" ht="12.75" hidden="false" customHeight="false" outlineLevel="0" collapsed="false">
      <c r="A19" s="15" t="s">
        <v>25</v>
      </c>
      <c r="B19" s="16" t="n">
        <f aca="false">0.0011+0.0022</f>
        <v>0.0033</v>
      </c>
      <c r="C19" s="17" t="n">
        <v>0.0226</v>
      </c>
      <c r="D19" s="5" t="n">
        <f aca="false">D$2/(1-$C19)+$B$17-D$2</f>
        <v>0.148934642930223</v>
      </c>
      <c r="E19" s="21" t="n">
        <f aca="false">D19+$D$2</f>
        <v>6.46893464293022</v>
      </c>
      <c r="F19" s="19" t="n">
        <f aca="false">E19+$F$6</f>
        <v>6.47643464293022</v>
      </c>
      <c r="G19" s="20" t="n">
        <f aca="false">$G$5/(1-C19)</f>
        <v>10231.225700839</v>
      </c>
    </row>
    <row r="20" customFormat="false" ht="12.75" hidden="false" customHeight="false" outlineLevel="0" collapsed="false">
      <c r="A20" s="15"/>
      <c r="B20" s="16"/>
      <c r="C20" s="17"/>
      <c r="D20" s="5"/>
    </row>
    <row r="21" customFormat="false" ht="12.75" hidden="false" customHeight="false" outlineLevel="0" collapsed="false">
      <c r="A21" s="15" t="s">
        <v>26</v>
      </c>
      <c r="B21" s="5" t="n">
        <f aca="false">0.0021+0.0075+0.0022</f>
        <v>0.0118</v>
      </c>
      <c r="C21" s="1" t="n">
        <v>0.0181</v>
      </c>
      <c r="D21" s="5" t="n">
        <f aca="false">D$1/(1-$C21)+$B$21-D$1</f>
        <v>0.129038007943783</v>
      </c>
    </row>
    <row r="22" customFormat="false" ht="12.75" hidden="false" customHeight="false" outlineLevel="0" collapsed="false">
      <c r="A22" s="15" t="s">
        <v>27</v>
      </c>
      <c r="B22" s="16" t="n">
        <v>0.0173</v>
      </c>
      <c r="C22" s="17" t="n">
        <v>0.0319</v>
      </c>
      <c r="D22" s="5" t="n">
        <f aca="false">D$1/(1-$C22)+$B$22-D$1</f>
        <v>0.226869259374031</v>
      </c>
    </row>
    <row r="23" customFormat="false" ht="12.75" hidden="false" customHeight="false" outlineLevel="0" collapsed="false">
      <c r="A23" s="15" t="s">
        <v>28</v>
      </c>
      <c r="B23" s="16" t="n">
        <v>0.0243</v>
      </c>
      <c r="C23" s="17" t="n">
        <v>0.0452</v>
      </c>
      <c r="D23" s="5" t="n">
        <f aca="false">D$1/(1-$C23)+$B$23-D$1</f>
        <v>0.325380854629242</v>
      </c>
    </row>
    <row r="24" customFormat="false" ht="12.75" hidden="false" customHeight="false" outlineLevel="0" collapsed="false">
      <c r="A24" s="15" t="s">
        <v>29</v>
      </c>
      <c r="B24" s="16" t="n">
        <v>0.0303</v>
      </c>
      <c r="C24" s="17" t="n">
        <v>0.0629</v>
      </c>
      <c r="D24" s="5" t="n">
        <f aca="false">D$1/(1-$C24)+$B$24-D$1</f>
        <v>0.457195742183331</v>
      </c>
      <c r="H24" s="0" t="n">
        <f aca="false">0.007*4.89+0.0009</f>
        <v>0.03513</v>
      </c>
    </row>
    <row r="26" customFormat="false" ht="12.75" hidden="false" customHeight="false" outlineLevel="0" collapsed="false">
      <c r="B26" s="0" t="s">
        <v>30</v>
      </c>
    </row>
    <row r="27" customFormat="false" ht="12.75" hidden="false" customHeight="false" outlineLevel="0" collapsed="false">
      <c r="A27" s="0" t="s">
        <v>31</v>
      </c>
      <c r="B27" s="0" t="n">
        <v>0.0004</v>
      </c>
      <c r="G27" s="0" t="n">
        <v>92000</v>
      </c>
      <c r="H27" s="0" t="n">
        <v>5.25</v>
      </c>
      <c r="I27" s="0" t="n">
        <f aca="false">G27*H27</f>
        <v>483000</v>
      </c>
    </row>
    <row r="28" customFormat="false" ht="12.75" hidden="false" customHeight="false" outlineLevel="0" collapsed="false">
      <c r="G28" s="0" t="n">
        <v>35000</v>
      </c>
      <c r="H28" s="0" t="n">
        <v>5.266</v>
      </c>
      <c r="I28" s="0" t="n">
        <f aca="false">G28*H28</f>
        <v>184310</v>
      </c>
    </row>
    <row r="29" customFormat="false" ht="12.75" hidden="false" customHeight="false" outlineLevel="0" collapsed="false">
      <c r="B29" s="0" t="n">
        <f aca="false">5.4*0.0086</f>
        <v>0.04644</v>
      </c>
      <c r="E29" s="0" t="n">
        <f aca="false">0.86/100</f>
        <v>0.0086</v>
      </c>
      <c r="G29" s="0" t="n">
        <f aca="false">SUM(G27:G28)</f>
        <v>127000</v>
      </c>
      <c r="I29" s="0" t="n">
        <f aca="false">SUM(I27:I28)</f>
        <v>667310</v>
      </c>
    </row>
    <row r="30" customFormat="false" ht="12.75" hidden="false" customHeight="false" outlineLevel="0" collapsed="false">
      <c r="B30" s="0" t="n">
        <v>0.0015</v>
      </c>
      <c r="H30" s="0" t="n">
        <f aca="false">I29/G29</f>
        <v>5.2544094488189</v>
      </c>
    </row>
    <row r="31" customFormat="false" ht="12.75" hidden="false" customHeight="false" outlineLevel="0" collapsed="false">
      <c r="B31" s="0" t="n">
        <f aca="false">SUM(B29:B30)</f>
        <v>0.04794</v>
      </c>
    </row>
  </sheetData>
  <mergeCells count="1"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42"/>
    <col collapsed="false" customWidth="true" hidden="false" outlineLevel="0" max="4" min="4" style="0" width="10.41"/>
    <col collapsed="false" customWidth="true" hidden="false" outlineLevel="0" max="7" min="7" style="0" width="11.56"/>
  </cols>
  <sheetData>
    <row r="1" customFormat="false" ht="12.75" hidden="false" customHeight="false" outlineLevel="0" collapsed="false">
      <c r="A1" s="1" t="s">
        <v>0</v>
      </c>
      <c r="B1" s="0" t="s">
        <v>32</v>
      </c>
      <c r="C1" s="2" t="s">
        <v>2</v>
      </c>
      <c r="D1" s="3" t="n">
        <v>6.36</v>
      </c>
      <c r="E1" s="4"/>
      <c r="I1" s="0" t="n">
        <v>5</v>
      </c>
    </row>
    <row r="2" customFormat="false" ht="12.75" hidden="false" customHeight="false" outlineLevel="0" collapsed="false">
      <c r="B2" s="5" t="s">
        <v>33</v>
      </c>
      <c r="D2" s="3" t="n">
        <v>6.32</v>
      </c>
      <c r="H2" s="0" t="n">
        <f aca="false">5-0.06</f>
        <v>4.94</v>
      </c>
      <c r="I2" s="0" t="n">
        <f aca="false">0.11+0.0075</f>
        <v>0.1175</v>
      </c>
    </row>
    <row r="3" customFormat="false" ht="12.75" hidden="false" customHeight="false" outlineLevel="0" collapsed="false">
      <c r="B3" s="0" t="s">
        <v>34</v>
      </c>
      <c r="D3" s="3" t="n">
        <v>6.36</v>
      </c>
      <c r="I3" s="0" t="n">
        <f aca="false">I1+I2</f>
        <v>5.1175</v>
      </c>
    </row>
    <row r="4" customFormat="false" ht="25.5" hidden="false" customHeight="false" outlineLevel="0" collapsed="false">
      <c r="A4" s="6" t="n">
        <f aca="true">NOW()</f>
        <v>45926.9533232353</v>
      </c>
      <c r="B4" s="5"/>
      <c r="C4" s="1"/>
      <c r="E4" s="7" t="s">
        <v>5</v>
      </c>
      <c r="F4" s="7"/>
      <c r="G4" s="8" t="s">
        <v>6</v>
      </c>
    </row>
    <row r="5" customFormat="false" ht="13.5" hidden="false" customHeight="false" outlineLevel="0" collapsed="false">
      <c r="A5" s="9" t="s">
        <v>7</v>
      </c>
      <c r="B5" s="10" t="s">
        <v>8</v>
      </c>
      <c r="C5" s="11" t="s">
        <v>9</v>
      </c>
      <c r="D5" s="12" t="s">
        <v>10</v>
      </c>
      <c r="E5" s="12" t="s">
        <v>11</v>
      </c>
      <c r="F5" s="12" t="s">
        <v>12</v>
      </c>
      <c r="G5" s="13" t="n">
        <v>10000</v>
      </c>
    </row>
    <row r="6" customFormat="false" ht="12.75" hidden="false" customHeight="false" outlineLevel="0" collapsed="false">
      <c r="A6" s="14" t="s">
        <v>35</v>
      </c>
      <c r="C6" s="1"/>
      <c r="F6" s="0" t="n">
        <v>0.0072</v>
      </c>
    </row>
    <row r="7" customFormat="false" ht="12.75" hidden="false" customHeight="false" outlineLevel="0" collapsed="false">
      <c r="A7" s="14" t="s">
        <v>36</v>
      </c>
      <c r="B7" s="5"/>
      <c r="C7" s="1"/>
      <c r="J7" s="0" t="n">
        <v>5.11</v>
      </c>
      <c r="K7" s="0" t="n">
        <v>5.195</v>
      </c>
    </row>
    <row r="8" customFormat="false" ht="12.75" hidden="false" customHeight="false" outlineLevel="0" collapsed="false">
      <c r="A8" s="15" t="s">
        <v>37</v>
      </c>
      <c r="B8" s="16" t="n">
        <f aca="false">0.0037+0.0022</f>
        <v>0.0059</v>
      </c>
      <c r="C8" s="17" t="n">
        <v>0.0145</v>
      </c>
      <c r="D8" s="5" t="n">
        <f aca="false">D$1/(1-$C8)+$B$8-D$1</f>
        <v>0.0994768645357675</v>
      </c>
      <c r="E8" s="18" t="n">
        <f aca="false">D8+$D$1</f>
        <v>6.45947686453577</v>
      </c>
      <c r="F8" s="19" t="n">
        <f aca="false">E8+$F$6</f>
        <v>6.46667686453577</v>
      </c>
      <c r="G8" s="20" t="n">
        <f aca="false">$G$5/(1-C8)</f>
        <v>10147.1334348047</v>
      </c>
      <c r="J8" s="0" t="n">
        <v>5.275</v>
      </c>
      <c r="K8" s="0" t="n">
        <v>5.21</v>
      </c>
    </row>
    <row r="9" customFormat="false" ht="12.75" hidden="false" customHeight="false" outlineLevel="0" collapsed="false">
      <c r="A9" s="15" t="s">
        <v>38</v>
      </c>
      <c r="B9" s="16" t="n">
        <f aca="false">0.0096+0.0022</f>
        <v>0.0118</v>
      </c>
      <c r="C9" s="17" t="n">
        <v>0.0239</v>
      </c>
      <c r="D9" s="5" t="n">
        <f aca="false">D$3/(1-$C9)+$B$9-D$1</f>
        <v>0.1675258477615</v>
      </c>
      <c r="E9" s="21" t="n">
        <f aca="false">D9+$D$3</f>
        <v>6.5275258477615</v>
      </c>
      <c r="F9" s="19" t="n">
        <f aca="false">E9+$F$6</f>
        <v>6.5347258477615</v>
      </c>
      <c r="G9" s="20" t="n">
        <f aca="false">$G$5/(1-C9)</f>
        <v>10244.8519618892</v>
      </c>
      <c r="J9" s="0" t="n">
        <f aca="false">AVERAGE(J7:J8)</f>
        <v>5.1925</v>
      </c>
      <c r="K9" s="0" t="n">
        <f aca="false">AVERAGE(K7:K8)</f>
        <v>5.2025</v>
      </c>
    </row>
    <row r="10" customFormat="false" ht="12.75" hidden="false" customHeight="false" outlineLevel="0" collapsed="false">
      <c r="A10" s="15" t="s">
        <v>39</v>
      </c>
      <c r="B10" s="16" t="n">
        <f aca="false">0.0152+0.0022</f>
        <v>0.0174</v>
      </c>
      <c r="C10" s="17" t="n">
        <v>0.0294</v>
      </c>
      <c r="D10" s="5" t="n">
        <f aca="false">D$2/(1-$C10)+$B$10-D$2</f>
        <v>0.208836225015455</v>
      </c>
      <c r="E10" s="21" t="n">
        <f aca="false">D10+$D$2</f>
        <v>6.52883622501546</v>
      </c>
      <c r="F10" s="19" t="n">
        <f aca="false">E10+$F$6</f>
        <v>6.53603622501546</v>
      </c>
      <c r="G10" s="20" t="n">
        <f aca="false">$G$5/(1-C10)</f>
        <v>10302.9054193283</v>
      </c>
    </row>
    <row r="11" customFormat="false" ht="12.75" hidden="false" customHeight="false" outlineLevel="0" collapsed="false">
      <c r="A11" s="15" t="s">
        <v>40</v>
      </c>
      <c r="B11" s="16" t="n">
        <f aca="false">0.017+0.0022</f>
        <v>0.0192</v>
      </c>
      <c r="C11" s="17" t="n">
        <v>0.0323</v>
      </c>
      <c r="D11" s="5" t="n">
        <f aca="false">D$2/(1-$C11)+$B$10-D$2</f>
        <v>0.228349674485894</v>
      </c>
      <c r="E11" s="21" t="n">
        <f aca="false">D11+$D$2</f>
        <v>6.5483496744859</v>
      </c>
      <c r="F11" s="19" t="n">
        <f aca="false">E11+$F$6</f>
        <v>6.5555496744859</v>
      </c>
      <c r="G11" s="20" t="n">
        <f aca="false">$G$5/(1-C11)</f>
        <v>10333.7811305157</v>
      </c>
    </row>
    <row r="12" customFormat="false" ht="12.75" hidden="false" customHeight="false" outlineLevel="0" collapsed="false">
      <c r="A12" s="22"/>
      <c r="B12" s="16"/>
      <c r="C12" s="17"/>
      <c r="D12" s="5"/>
      <c r="E12" s="18"/>
      <c r="F12" s="19"/>
      <c r="G12" s="20"/>
    </row>
    <row r="13" customFormat="false" ht="12.75" hidden="false" customHeight="false" outlineLevel="0" collapsed="false">
      <c r="A13" s="15" t="s">
        <v>41</v>
      </c>
      <c r="B13" s="16" t="n">
        <f aca="false">0.0022+0.0059</f>
        <v>0.0081</v>
      </c>
      <c r="C13" s="17" t="n">
        <v>0.01155</v>
      </c>
      <c r="D13" s="5" t="n">
        <f aca="false">D$1/(1-$C13)+$B$13-D$1</f>
        <v>0.0824163538873988</v>
      </c>
      <c r="E13" s="18" t="n">
        <f aca="false">D13+$D$1</f>
        <v>6.4424163538874</v>
      </c>
      <c r="F13" s="19" t="n">
        <f aca="false">E13+$F$6</f>
        <v>6.4496163538874</v>
      </c>
      <c r="G13" s="20" t="n">
        <f aca="false">$G$5/(1-C13)</f>
        <v>10116.8496130305</v>
      </c>
    </row>
    <row r="14" customFormat="false" ht="12.75" hidden="false" customHeight="false" outlineLevel="0" collapsed="false">
      <c r="A14" s="15" t="s">
        <v>42</v>
      </c>
      <c r="B14" s="16" t="n">
        <f aca="false">0.0115+0.0022</f>
        <v>0.0137</v>
      </c>
      <c r="C14" s="17" t="n">
        <v>0.021</v>
      </c>
      <c r="D14" s="5" t="n">
        <f aca="false">D$3/(1-$C14)+$B$14-D$3</f>
        <v>0.150124923391216</v>
      </c>
      <c r="E14" s="21" t="n">
        <f aca="false">D14+$D$3</f>
        <v>6.51012492339122</v>
      </c>
      <c r="F14" s="19" t="n">
        <f aca="false">E14+$F$6</f>
        <v>6.51732492339122</v>
      </c>
      <c r="G14" s="20" t="n">
        <f aca="false">$G$5/(1-C14)</f>
        <v>10214.5045965271</v>
      </c>
    </row>
    <row r="15" customFormat="false" ht="12.75" hidden="false" customHeight="false" outlineLevel="0" collapsed="false">
      <c r="A15" s="15" t="s">
        <v>43</v>
      </c>
      <c r="B15" s="16" t="n">
        <f aca="false">0.0133+0.0022</f>
        <v>0.0155</v>
      </c>
      <c r="C15" s="17" t="n">
        <v>0.0239</v>
      </c>
      <c r="D15" s="5" t="n">
        <f aca="false">D$2/(1-$C15)+$B$15-D$2</f>
        <v>0.170246439913944</v>
      </c>
      <c r="E15" s="21" t="n">
        <f aca="false">D15+$D$2</f>
        <v>6.49024643991394</v>
      </c>
      <c r="F15" s="19" t="n">
        <f aca="false">E15+$F$6</f>
        <v>6.49744643991394</v>
      </c>
      <c r="G15" s="20" t="n">
        <f aca="false">$G$5/(1-C15)</f>
        <v>10244.8519618892</v>
      </c>
      <c r="H15" s="21" t="n">
        <f aca="false">D15-0.13</f>
        <v>0.0402464399139441</v>
      </c>
    </row>
    <row r="16" customFormat="false" ht="12.75" hidden="false" customHeight="false" outlineLevel="0" collapsed="false">
      <c r="A16" s="15" t="s">
        <v>22</v>
      </c>
      <c r="B16" s="16" t="n">
        <f aca="false">0.0092+0.0022</f>
        <v>0.0114</v>
      </c>
      <c r="C16" s="17" t="n">
        <v>0.0303</v>
      </c>
      <c r="D16" s="5" t="n">
        <f aca="false">D$1/(1-$C16)+$B$16-D$1</f>
        <v>0.2101295039703</v>
      </c>
      <c r="E16" s="18" t="n">
        <f aca="false">D16+$D$1</f>
        <v>6.5701295039703</v>
      </c>
      <c r="F16" s="19" t="n">
        <f aca="false">E16+$F$6</f>
        <v>6.5773295039703</v>
      </c>
      <c r="G16" s="20" t="n">
        <f aca="false">$G$5/(1-C16)</f>
        <v>10312.4677735382</v>
      </c>
    </row>
    <row r="17" customFormat="false" ht="12.75" hidden="false" customHeight="false" outlineLevel="0" collapsed="false">
      <c r="A17" s="22" t="s">
        <v>4</v>
      </c>
      <c r="B17" s="16"/>
      <c r="C17" s="17"/>
      <c r="D17" s="5"/>
      <c r="E17" s="18"/>
      <c r="F17" s="19"/>
      <c r="G17" s="20"/>
    </row>
    <row r="18" customFormat="false" ht="12.75" hidden="false" customHeight="false" outlineLevel="0" collapsed="false">
      <c r="A18" s="15" t="s">
        <v>23</v>
      </c>
      <c r="B18" s="16" t="n">
        <f aca="false">0.0006+0.0022</f>
        <v>0.0028</v>
      </c>
      <c r="C18" s="17" t="n">
        <v>0.011</v>
      </c>
      <c r="D18" s="5" t="n">
        <f aca="false">D$1/(1-$C18)+$B$18-D$1</f>
        <v>0.0735381193124365</v>
      </c>
      <c r="E18" s="18" t="n">
        <f aca="false">D18+$D$1</f>
        <v>6.43353811931244</v>
      </c>
      <c r="F18" s="19" t="n">
        <f aca="false">E18+$F$6</f>
        <v>6.44073811931244</v>
      </c>
      <c r="G18" s="20" t="n">
        <f aca="false">$G$5/(1-C18)</f>
        <v>10111.2234580384</v>
      </c>
    </row>
    <row r="19" customFormat="false" ht="12.75" hidden="false" customHeight="false" outlineLevel="0" collapsed="false">
      <c r="A19" s="15" t="s">
        <v>24</v>
      </c>
      <c r="B19" s="16" t="n">
        <f aca="false">0.0002+0.0022</f>
        <v>0.0024</v>
      </c>
      <c r="C19" s="17" t="n">
        <v>0.016</v>
      </c>
      <c r="D19" s="5" t="n">
        <f aca="false">D$3/(1-$C19)+$B$18-D$3</f>
        <v>0.106214634146341</v>
      </c>
      <c r="E19" s="21" t="n">
        <f aca="false">D19+$D$3</f>
        <v>6.46621463414634</v>
      </c>
      <c r="F19" s="19" t="n">
        <f aca="false">E19+$F$6</f>
        <v>6.47341463414634</v>
      </c>
      <c r="G19" s="20" t="n">
        <f aca="false">$G$5/(1-C19)</f>
        <v>10162.6016260163</v>
      </c>
    </row>
    <row r="20" customFormat="false" ht="12.75" hidden="false" customHeight="false" outlineLevel="0" collapsed="false">
      <c r="A20" s="15" t="s">
        <v>25</v>
      </c>
      <c r="B20" s="16" t="n">
        <f aca="false">0.0011+0.0022</f>
        <v>0.0033</v>
      </c>
      <c r="C20" s="17" t="n">
        <v>0.0226</v>
      </c>
      <c r="D20" s="5" t="n">
        <f aca="false">D$2/(1-$C20)+$B$18-D$2</f>
        <v>0.148934642930223</v>
      </c>
      <c r="E20" s="21" t="n">
        <f aca="false">D20+$D$2</f>
        <v>6.46893464293022</v>
      </c>
      <c r="F20" s="19" t="n">
        <f aca="false">E20+$F$6</f>
        <v>6.47613464293022</v>
      </c>
      <c r="G20" s="20" t="n">
        <f aca="false">$G$5/(1-C20)</f>
        <v>10231.225700839</v>
      </c>
    </row>
    <row r="21" customFormat="false" ht="12.75" hidden="false" customHeight="false" outlineLevel="0" collapsed="false">
      <c r="A21" s="15"/>
      <c r="B21" s="16"/>
      <c r="C21" s="17"/>
      <c r="D21" s="5"/>
    </row>
    <row r="22" customFormat="false" ht="12.75" hidden="false" customHeight="false" outlineLevel="0" collapsed="false">
      <c r="A22" s="15" t="s">
        <v>26</v>
      </c>
      <c r="B22" s="5" t="n">
        <f aca="false">0.0021+0.0075+0.0022</f>
        <v>0.0118</v>
      </c>
      <c r="C22" s="1" t="n">
        <v>0.0181</v>
      </c>
      <c r="D22" s="5" t="n">
        <f aca="false">D$1/(1-$C22)+$B$22-D$1</f>
        <v>0.129038007943783</v>
      </c>
    </row>
    <row r="23" customFormat="false" ht="12.75" hidden="false" customHeight="false" outlineLevel="0" collapsed="false">
      <c r="A23" s="15" t="s">
        <v>27</v>
      </c>
      <c r="B23" s="16" t="n">
        <v>0.0173</v>
      </c>
      <c r="C23" s="17" t="n">
        <v>0.0319</v>
      </c>
      <c r="D23" s="5" t="n">
        <f aca="false">D$1/(1-$C23)+$B$23-D$1</f>
        <v>0.226869259374031</v>
      </c>
    </row>
    <row r="24" customFormat="false" ht="12.75" hidden="false" customHeight="false" outlineLevel="0" collapsed="false">
      <c r="A24" s="15" t="s">
        <v>28</v>
      </c>
      <c r="B24" s="16" t="n">
        <v>0.0243</v>
      </c>
      <c r="C24" s="17" t="n">
        <v>0.0452</v>
      </c>
      <c r="D24" s="5" t="n">
        <f aca="false">D$1/(1-$C24)+$B$24-D$1</f>
        <v>0.325380854629242</v>
      </c>
    </row>
    <row r="25" customFormat="false" ht="12.75" hidden="false" customHeight="false" outlineLevel="0" collapsed="false">
      <c r="A25" s="15" t="s">
        <v>29</v>
      </c>
      <c r="B25" s="16" t="n">
        <v>0.0303</v>
      </c>
      <c r="C25" s="17" t="n">
        <v>0.0629</v>
      </c>
      <c r="D25" s="5" t="n">
        <f aca="false">D$1/(1-$C25)+$B$25-D$1</f>
        <v>0.457195742183331</v>
      </c>
      <c r="H25" s="0" t="n">
        <f aca="false">0.007*4.89+0.0009</f>
        <v>0.03513</v>
      </c>
    </row>
    <row r="27" customFormat="false" ht="12.75" hidden="false" customHeight="false" outlineLevel="0" collapsed="false">
      <c r="B27" s="0" t="s">
        <v>30</v>
      </c>
    </row>
    <row r="28" customFormat="false" ht="12.75" hidden="false" customHeight="false" outlineLevel="0" collapsed="false">
      <c r="A28" s="0" t="s">
        <v>31</v>
      </c>
      <c r="B28" s="0" t="n">
        <v>0.0004</v>
      </c>
      <c r="G28" s="0" t="n">
        <v>92000</v>
      </c>
      <c r="H28" s="0" t="n">
        <v>5.25</v>
      </c>
      <c r="I28" s="0" t="n">
        <f aca="false">G28*H28</f>
        <v>483000</v>
      </c>
    </row>
    <row r="29" customFormat="false" ht="12.75" hidden="false" customHeight="false" outlineLevel="0" collapsed="false">
      <c r="G29" s="0" t="n">
        <v>35000</v>
      </c>
      <c r="H29" s="0" t="n">
        <v>5.266</v>
      </c>
      <c r="I29" s="0" t="n">
        <f aca="false">G29*H29</f>
        <v>184310</v>
      </c>
    </row>
    <row r="30" customFormat="false" ht="12.75" hidden="false" customHeight="false" outlineLevel="0" collapsed="false">
      <c r="B30" s="0" t="n">
        <f aca="false">5.4*0.0086</f>
        <v>0.04644</v>
      </c>
      <c r="E30" s="0" t="n">
        <f aca="false">0.86/100</f>
        <v>0.0086</v>
      </c>
      <c r="G30" s="0" t="n">
        <f aca="false">SUM(G28:G29)</f>
        <v>127000</v>
      </c>
      <c r="I30" s="0" t="n">
        <f aca="false">SUM(I28:I29)</f>
        <v>667310</v>
      </c>
    </row>
    <row r="31" customFormat="false" ht="12.75" hidden="false" customHeight="false" outlineLevel="0" collapsed="false">
      <c r="B31" s="0" t="n">
        <v>0.0015</v>
      </c>
      <c r="H31" s="0" t="n">
        <f aca="false">I30/G30</f>
        <v>5.2544094488189</v>
      </c>
    </row>
    <row r="32" customFormat="false" ht="12.75" hidden="false" customHeight="false" outlineLevel="0" collapsed="false">
      <c r="B32" s="0" t="n">
        <f aca="false">SUM(B30:B31)</f>
        <v>0.04794</v>
      </c>
    </row>
  </sheetData>
  <mergeCells count="1"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2000-07-28T18:13:38Z</dcterms:created>
  <dc:creator>Joe Parks</dc:creator>
  <dc:description/>
  <dc:language>en-US</dc:language>
  <cp:lastModifiedBy>rzivic</cp:lastModifiedBy>
  <cp:revision>0</cp:revision>
  <dc:subject/>
  <dc:title/>
</cp:coreProperties>
</file>